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48" activeTab="2"/>
  </bookViews>
  <sheets>
    <sheet name="通江农村客运车辆成本信息核定表" sheetId="4" r:id="rId1"/>
    <sheet name="巴运（2021）" sheetId="6" r:id="rId2"/>
    <sheet name="巴运 (2020)" sheetId="10" r:id="rId3"/>
    <sheet name="巴运 (2019)" sheetId="9" r:id="rId4"/>
    <sheet name="利民（2021）" sheetId="5" r:id="rId5"/>
    <sheet name="利民 (2020)" sheetId="11" r:id="rId6"/>
    <sheet name="利民 (2019)" sheetId="12" r:id="rId7"/>
    <sheet name="万顺（2021）" sheetId="7" r:id="rId8"/>
    <sheet name="万顺 (2020)" sheetId="13" r:id="rId9"/>
    <sheet name="一凡（2021）" sheetId="8" r:id="rId10"/>
  </sheets>
  <definedNames>
    <definedName name="_xlnm._FilterDatabase" localSheetId="4" hidden="1">'利民（2021）'!$A$4:$AV$46</definedName>
    <definedName name="_xlnm._FilterDatabase" localSheetId="5" hidden="1">'利民 (2020)'!$A$4:$AV$38</definedName>
    <definedName name="_xlnm._FilterDatabase" localSheetId="6" hidden="1">'利民 (2019)'!$A$4:$AV$22</definedName>
    <definedName name="_xlnm._FilterDatabase" localSheetId="3" hidden="1">'巴运 (2019)'!$A$4:$AO$13</definedName>
    <definedName name="_xlnm._FilterDatabase" localSheetId="2" hidden="1">'巴运 (2020)'!$A$4:$AO$19</definedName>
    <definedName name="_xlnm._FilterDatabase" localSheetId="1" hidden="1">'巴运（2021）'!$A$4:$AO$20</definedName>
    <definedName name="_xlnm._FilterDatabase" localSheetId="8" hidden="1">'万顺 (2020)'!$A$4:$AL$14</definedName>
    <definedName name="_xlnm._FilterDatabase" localSheetId="7" hidden="1">'万顺（2021）'!$A$4:$AL$15</definedName>
    <definedName name="_xlnm.Print_Area" localSheetId="3">'巴运 (2019)'!$A$1:$AL$13</definedName>
    <definedName name="_xlnm.Print_Area" localSheetId="2">'巴运 (2020)'!$A$1:$AL$19</definedName>
    <definedName name="_xlnm.Print_Area" localSheetId="1">'巴运（2021）'!$A$1:$AL$20</definedName>
    <definedName name="_xlnm.Print_Area" localSheetId="6">'利民 (2019)'!$A$1:$AP$22</definedName>
    <definedName name="_xlnm.Print_Area" localSheetId="8">'万顺 (2020)'!$A$1:$AK$14</definedName>
    <definedName name="_xlnm.Print_Area" localSheetId="7">'万顺（2021）'!$A$1:$AK$15</definedName>
    <definedName name="_xlnm.Print_Titles" localSheetId="3">'巴运 (2019)'!$A:$G</definedName>
    <definedName name="_xlnm.Print_Titles" localSheetId="2">'巴运 (2020)'!$A:$G</definedName>
    <definedName name="_xlnm.Print_Titles" localSheetId="1">'巴运（2021）'!$A:$G</definedName>
    <definedName name="_xlnm.Print_Titles" localSheetId="6">'利民 (2019)'!$A:$D,'利民 (2019)'!$1:$4</definedName>
    <definedName name="_xlnm.Print_Titles" localSheetId="5">'利民 (2020)'!$A:$G,'利民 (2020)'!$1:$4</definedName>
    <definedName name="_xlnm.Print_Titles" localSheetId="4">'利民（2021）'!$A:$D,'利民（2021）'!$1:$4</definedName>
    <definedName name="_xlnm.Print_Titles" localSheetId="0">通江农村客运车辆成本信息核定表!$1:$3</definedName>
    <definedName name="_xlnm.Print_Titles" localSheetId="8">'万顺 (2020)'!$A:$F</definedName>
    <definedName name="_xlnm.Print_Titles" localSheetId="7">'万顺（2021）'!$A:$F</definedName>
    <definedName name="_xlnm.Print_Titles" localSheetId="9">'一凡（2021）'!$A:$F</definedName>
    <definedName name="_xlnm.Print_Area" localSheetId="5">'利民 (2020)'!$A$1:$AP$38</definedName>
    <definedName name="_xlnm.Print_Area" localSheetId="9">'一凡（2021）'!$A$1:$AL$13</definedName>
    <definedName name="_xlnm.Print_Area" localSheetId="4">'利民（2021）'!$A$1:$AP$46</definedName>
    <definedName name="_xlnm.Print_Area" localSheetId="0">通江农村客运车辆成本信息核定表!$A$1:$P$45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I3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请将填入线路</t>
        </r>
      </text>
    </comment>
    <comment ref="AH3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请将填入线路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3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请将填入线路</t>
        </r>
      </text>
    </comment>
    <comment ref="AH3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请将填入线路</t>
        </r>
      </text>
    </comment>
  </commentList>
</comments>
</file>

<file path=xl/sharedStrings.xml><?xml version="1.0" encoding="utf-8"?>
<sst xmlns="http://schemas.openxmlformats.org/spreadsheetml/2006/main" count="1511" uniqueCount="502">
  <si>
    <t>附件1</t>
  </si>
  <si>
    <t>通江县农村客运汽车单车运营定价成本核定表</t>
  </si>
  <si>
    <t>项目（单位）</t>
  </si>
  <si>
    <t>栏次及关系</t>
  </si>
  <si>
    <t>四川省巴中运输（集团）有限公司通江县分公司</t>
  </si>
  <si>
    <t>通江县利民汽车运输有限责任公司</t>
  </si>
  <si>
    <t>四川万顺旅游客运有限公司</t>
  </si>
  <si>
    <t>通江县一凡汽车运输有限公司</t>
  </si>
  <si>
    <t>总平均值</t>
  </si>
  <si>
    <t>说明</t>
  </si>
  <si>
    <t>2021年</t>
  </si>
  <si>
    <t>2020年</t>
  </si>
  <si>
    <t>2019年</t>
  </si>
  <si>
    <t>平均值</t>
  </si>
  <si>
    <t>一、营运农村客运车数量（辆）</t>
  </si>
  <si>
    <t>B1</t>
  </si>
  <si>
    <t>万顺2020年开始开展经营农村客运；一凡公司2020年9月取得道路运输经营许可证，2020年12月部分车辆开始上户，当年未实际经营</t>
  </si>
  <si>
    <t>二、平均每车年载客行驶里程（公里）</t>
  </si>
  <si>
    <t>B2</t>
  </si>
  <si>
    <t>平均每月28天计算，2020年因疫情原因按11个月运营计算</t>
  </si>
  <si>
    <t xml:space="preserve"> （一）年行驶里程（公里）</t>
  </si>
  <si>
    <t>B3</t>
  </si>
  <si>
    <t xml:space="preserve"> （二）里程有效使用率（%）</t>
  </si>
  <si>
    <t>B4</t>
  </si>
  <si>
    <t>三、月均载客次数（次/月）</t>
  </si>
  <si>
    <t>B5</t>
  </si>
  <si>
    <t>四、次均行驶里程（公里/次）</t>
  </si>
  <si>
    <t>B6</t>
  </si>
  <si>
    <t>含空载行驶里程</t>
  </si>
  <si>
    <t>五、平均实载率（%）</t>
  </si>
  <si>
    <t>B7</t>
  </si>
  <si>
    <t>六、年收入（元）</t>
  </si>
  <si>
    <t>B8</t>
  </si>
  <si>
    <t>七、政府补助收入</t>
  </si>
  <si>
    <t>B9=∑B（10:11）</t>
  </si>
  <si>
    <t>收2019年补助</t>
  </si>
  <si>
    <t xml:space="preserve">    其中：1、燃油补助费</t>
  </si>
  <si>
    <t>B10</t>
  </si>
  <si>
    <t>据实核定</t>
  </si>
  <si>
    <t xml:space="preserve">          2、保险补助费</t>
  </si>
  <si>
    <t>B11</t>
  </si>
  <si>
    <t xml:space="preserve">          3、其他补助费</t>
  </si>
  <si>
    <t>B12</t>
  </si>
  <si>
    <t>八、直接运营费用（元）</t>
  </si>
  <si>
    <t>B13=B14+B17+∑B(19:22)+B28</t>
  </si>
  <si>
    <t xml:space="preserve"> （一）驾驶员薪酬</t>
  </si>
  <si>
    <t>B14=B15+B16</t>
  </si>
  <si>
    <t>月平均工资</t>
  </si>
  <si>
    <t xml:space="preserve">    其中：1、工资</t>
  </si>
  <si>
    <t>B15</t>
  </si>
  <si>
    <t xml:space="preserve">          2、社会保障费</t>
  </si>
  <si>
    <t>B16</t>
  </si>
  <si>
    <t>参照巴中市2019-2021年度灵活就业人员养老保险缴费档次最低标准购买社保计算</t>
  </si>
  <si>
    <t xml:space="preserve"> （二）车辆折旧费</t>
  </si>
  <si>
    <t>B17</t>
  </si>
  <si>
    <t>因车辆强制报废残值金额为500元每车，故残值率按3%确定</t>
  </si>
  <si>
    <t xml:space="preserve">       折旧年限</t>
  </si>
  <si>
    <t>B18</t>
  </si>
  <si>
    <t>车辆按7年折旧</t>
  </si>
  <si>
    <t xml:space="preserve"> （三）车辆保险费</t>
  </si>
  <si>
    <t>B19</t>
  </si>
  <si>
    <t xml:space="preserve"> （四）车辆燃油费</t>
  </si>
  <si>
    <t>B20</t>
  </si>
  <si>
    <t>9座以内100公里12升，10-14座100公里14升，15-19座100公里16升，20-30座100公里20升，根据出厂油价上浮10%-20%</t>
  </si>
  <si>
    <t xml:space="preserve"> （五）车辆修理费</t>
  </si>
  <si>
    <t>B21</t>
  </si>
  <si>
    <t>参考网上查询类似项目政务信息公告公示内容，车辆年均修理费一般不得超过购车款的15%</t>
  </si>
  <si>
    <t xml:space="preserve"> （六）车辆规费</t>
  </si>
  <si>
    <t>B22=∑B(23:27)</t>
  </si>
  <si>
    <t xml:space="preserve"> 其中：1、计价器检测费</t>
  </si>
  <si>
    <t>B23</t>
  </si>
  <si>
    <t xml:space="preserve">       2、机动车年审费</t>
  </si>
  <si>
    <t>B24</t>
  </si>
  <si>
    <t xml:space="preserve">       3、车辆上检费用</t>
  </si>
  <si>
    <t>B25</t>
  </si>
  <si>
    <t xml:space="preserve">       4、车辆监控平台费用</t>
  </si>
  <si>
    <t>B26</t>
  </si>
  <si>
    <t xml:space="preserve">       5、其他费用</t>
  </si>
  <si>
    <t>B27</t>
  </si>
  <si>
    <t xml:space="preserve"> （七）其它运营费用</t>
  </si>
  <si>
    <t>B28</t>
  </si>
  <si>
    <t>九、税费支出（元）</t>
  </si>
  <si>
    <t>B29=∑B(30:34)</t>
  </si>
  <si>
    <t xml:space="preserve">  （一）经营权使用费分摊</t>
  </si>
  <si>
    <t>B30</t>
  </si>
  <si>
    <t xml:space="preserve">  （二）安全管理费</t>
  </si>
  <si>
    <t>B31</t>
  </si>
  <si>
    <t xml:space="preserve">  （三）汽车行业协会会费</t>
  </si>
  <si>
    <t>B32</t>
  </si>
  <si>
    <t xml:space="preserve">  （四）税费</t>
  </si>
  <si>
    <t>B33</t>
  </si>
  <si>
    <t xml:space="preserve">  （五）其他费用</t>
  </si>
  <si>
    <t>B34</t>
  </si>
  <si>
    <t>十、利息支出（元）</t>
  </si>
  <si>
    <t>B35</t>
  </si>
  <si>
    <t>十一、客运运行总成本（元）</t>
  </si>
  <si>
    <t>B36=B13+B29+B35</t>
  </si>
  <si>
    <t>定价总成本=直接运营成本+税费支出+利息支出</t>
  </si>
  <si>
    <t>十二、扣减补助收入后成本</t>
  </si>
  <si>
    <t>B37=B36-B9</t>
  </si>
  <si>
    <t>十二、有效乘客数（人/次）</t>
  </si>
  <si>
    <t>B38</t>
  </si>
  <si>
    <t>定价总成本÷年均载客行驶里程数</t>
  </si>
  <si>
    <t>十三、单位人次营运成本（元/人次）</t>
  </si>
  <si>
    <t>B39=B37/B38</t>
  </si>
  <si>
    <t>含空载行驶成本</t>
  </si>
  <si>
    <t>十四、单位人次每公里运营成本（元/人次/公里）</t>
  </si>
  <si>
    <t>B40=B39/B6</t>
  </si>
  <si>
    <t>十五、单车线路平均里程（公里）</t>
  </si>
  <si>
    <t>B41</t>
  </si>
  <si>
    <t>附件2-1</t>
  </si>
  <si>
    <t>农村客运汽车车辆抽查运营定价成本统计表（2021年度）</t>
  </si>
  <si>
    <t>制表单位：四川省巴中运输（集团）有限公司通江县分公司</t>
  </si>
  <si>
    <t>金额单位：人民币元</t>
  </si>
  <si>
    <t>序号</t>
  </si>
  <si>
    <t>牌照号</t>
  </si>
  <si>
    <t>道路运输证号</t>
  </si>
  <si>
    <t>经营者</t>
  </si>
  <si>
    <t>厂牌型号</t>
  </si>
  <si>
    <t>购车时间</t>
  </si>
  <si>
    <t>座位</t>
  </si>
  <si>
    <t>车辆类型等级</t>
  </si>
  <si>
    <t>运行线路</t>
  </si>
  <si>
    <t>月承包费</t>
  </si>
  <si>
    <t>线路里程</t>
  </si>
  <si>
    <t>车辆折旧年限</t>
  </si>
  <si>
    <t>购车成本</t>
  </si>
  <si>
    <t>车辆购置税</t>
  </si>
  <si>
    <t>车辆年折旧额合计</t>
  </si>
  <si>
    <t>安全管理费</t>
  </si>
  <si>
    <t>年人工工资</t>
  </si>
  <si>
    <t>社会保障费</t>
  </si>
  <si>
    <t>车辆保险费</t>
  </si>
  <si>
    <t>车辆燃油费</t>
  </si>
  <si>
    <t>上户上检费</t>
  </si>
  <si>
    <t>检测服务费（三检合一）</t>
  </si>
  <si>
    <t>二级维护检测支出</t>
  </si>
  <si>
    <t>车辆保养费</t>
  </si>
  <si>
    <t>车辆维修费</t>
  </si>
  <si>
    <t>监控平台费用</t>
  </si>
  <si>
    <t>春检费</t>
  </si>
  <si>
    <t>成本合计</t>
  </si>
  <si>
    <t>年有效乘客人数</t>
  </si>
  <si>
    <t>里程（公里）</t>
  </si>
  <si>
    <t>票价</t>
  </si>
  <si>
    <t>月平均趟次</t>
  </si>
  <si>
    <t>平均每月运营天数</t>
  </si>
  <si>
    <t>年平均运行里程</t>
  </si>
  <si>
    <t>保险补助收入</t>
  </si>
  <si>
    <t>燃油补助收入</t>
  </si>
  <si>
    <t>全年营运收入</t>
  </si>
  <si>
    <t>川Y16T92</t>
  </si>
  <si>
    <t>周明志</t>
  </si>
  <si>
    <t>东风</t>
  </si>
  <si>
    <t>小型普通</t>
  </si>
  <si>
    <t>诺江镇-杨柏潘家河</t>
  </si>
  <si>
    <t>川Y27082</t>
  </si>
  <si>
    <t>511921000244</t>
  </si>
  <si>
    <t>陈  玺</t>
  </si>
  <si>
    <t>中通</t>
  </si>
  <si>
    <t>小型中级</t>
  </si>
  <si>
    <t>诺江镇-兴隆</t>
  </si>
  <si>
    <t>川Y20399</t>
  </si>
  <si>
    <t>511921001414</t>
  </si>
  <si>
    <t>李阳安</t>
  </si>
  <si>
    <t>金旅</t>
  </si>
  <si>
    <t>中型普通</t>
  </si>
  <si>
    <t>诺江镇-铁佛</t>
  </si>
  <si>
    <t>川Y20925</t>
  </si>
  <si>
    <t>511921001419</t>
  </si>
  <si>
    <t>苟    明</t>
  </si>
  <si>
    <t>大马</t>
  </si>
  <si>
    <t>川Y20422</t>
  </si>
  <si>
    <t>李  明</t>
  </si>
  <si>
    <t>中型普通客车</t>
  </si>
  <si>
    <t>诺江镇-沙溪大林坡村</t>
  </si>
  <si>
    <t>川Y18655</t>
  </si>
  <si>
    <t>511921001428</t>
  </si>
  <si>
    <t>邵   华</t>
  </si>
  <si>
    <t>金龙</t>
  </si>
  <si>
    <t>诺江镇-沙溪</t>
  </si>
  <si>
    <t xml:space="preserve">川Y26929 </t>
  </si>
  <si>
    <t>511921000628</t>
  </si>
  <si>
    <t>王  刚</t>
  </si>
  <si>
    <t>大通</t>
  </si>
  <si>
    <t>川Y20572</t>
  </si>
  <si>
    <t>511921000784</t>
  </si>
  <si>
    <t>王  丁</t>
  </si>
  <si>
    <t>福田</t>
  </si>
  <si>
    <t>诺江镇-沙溪镇柳支坪</t>
  </si>
  <si>
    <t>川Y79W19</t>
  </si>
  <si>
    <t>511921000380</t>
  </si>
  <si>
    <t>靳举鹏</t>
  </si>
  <si>
    <t>长安</t>
  </si>
  <si>
    <t>小型普通客车</t>
  </si>
  <si>
    <t>唱歌镇转坪村--诺江镇</t>
  </si>
  <si>
    <t>川Y22395</t>
  </si>
  <si>
    <t>511921001436</t>
  </si>
  <si>
    <t>李   昭</t>
  </si>
  <si>
    <t>诺江镇-龙凤</t>
  </si>
  <si>
    <t>川Y21D38</t>
  </si>
  <si>
    <t>张吕峰</t>
  </si>
  <si>
    <t>诺江镇-火炬</t>
  </si>
  <si>
    <t>川Y21535</t>
  </si>
  <si>
    <t>511921001445</t>
  </si>
  <si>
    <t>王   珣</t>
  </si>
  <si>
    <t>诺江镇-河口</t>
  </si>
  <si>
    <t>川Y24995</t>
  </si>
  <si>
    <t>511921000991</t>
  </si>
  <si>
    <t>马大海</t>
  </si>
  <si>
    <t>威麟</t>
  </si>
  <si>
    <t>涪阳斜滩河-诺江</t>
  </si>
  <si>
    <t>川Y92X37</t>
  </si>
  <si>
    <t>张泰川</t>
  </si>
  <si>
    <t>江淮</t>
  </si>
  <si>
    <t>诺江镇-陈河三溪寺村</t>
  </si>
  <si>
    <t>合计</t>
  </si>
  <si>
    <t>单车平均值</t>
  </si>
  <si>
    <t>附件2-2</t>
  </si>
  <si>
    <t>农村客运汽车车辆抽查运营定价成本统计表（2020年度）</t>
  </si>
  <si>
    <t>附件2-3</t>
  </si>
  <si>
    <t>农村客运汽车车辆抽查运营定价成本统计表（2019年度）</t>
  </si>
  <si>
    <t>附件3-1</t>
  </si>
  <si>
    <t>制表单位：通江县利民汽车运输有限责任公司</t>
  </si>
  <si>
    <t>车牌</t>
  </si>
  <si>
    <t>车辆型号</t>
  </si>
  <si>
    <t>品牌型号</t>
  </si>
  <si>
    <t>发动机号码</t>
  </si>
  <si>
    <t>车辆识别号</t>
  </si>
  <si>
    <t>入户时间</t>
  </si>
  <si>
    <t>经营线路</t>
  </si>
  <si>
    <t>票价收入</t>
  </si>
  <si>
    <t>人工工资</t>
  </si>
  <si>
    <t>进站费</t>
  </si>
  <si>
    <t>停车费用</t>
  </si>
  <si>
    <t>川Y02R63</t>
  </si>
  <si>
    <t>多用途乘用车</t>
  </si>
  <si>
    <t>东风牌LZ6510MQ15MN</t>
  </si>
  <si>
    <t>S3AG027</t>
  </si>
  <si>
    <t>LGG7F3D27KZ421046</t>
  </si>
  <si>
    <t>朱元——诺江镇</t>
  </si>
  <si>
    <t>川Y19371</t>
  </si>
  <si>
    <t>轻型客车</t>
  </si>
  <si>
    <t>金龙牌XMQ6530JED4C</t>
  </si>
  <si>
    <t>FBDQAG00443</t>
  </si>
  <si>
    <t>LA6PAAA25HB512800</t>
  </si>
  <si>
    <t>诺江——洪口</t>
  </si>
  <si>
    <t>川Y20389</t>
  </si>
  <si>
    <t>客车</t>
  </si>
  <si>
    <t>东风牌EQ6608PA5</t>
  </si>
  <si>
    <t>FGFFKJ00235</t>
  </si>
  <si>
    <t>LGF1797G1JF230370</t>
  </si>
  <si>
    <t>龙凤——诺江</t>
  </si>
  <si>
    <t>川Y25585</t>
  </si>
  <si>
    <t>大马牌HKL6540A</t>
  </si>
  <si>
    <t>012981</t>
  </si>
  <si>
    <t>LJSKA3AJ0LD002687</t>
  </si>
  <si>
    <t>诺江镇——文峰</t>
  </si>
  <si>
    <t>川Y52U76</t>
  </si>
  <si>
    <t>东风牌LZ6512MQ16BMN</t>
  </si>
  <si>
    <t>S3NR803</t>
  </si>
  <si>
    <t>LMXA12AG8M2487517</t>
  </si>
  <si>
    <t>沙溪镇金山罐村-诺江镇</t>
  </si>
  <si>
    <t>川Y20751</t>
  </si>
  <si>
    <t>威麟牌SQR6603H6D</t>
  </si>
  <si>
    <t>R919B035886</t>
  </si>
  <si>
    <t>LVME2D4A6KB420213</t>
  </si>
  <si>
    <t>诺江—胜利</t>
  </si>
  <si>
    <t>川Y17908</t>
  </si>
  <si>
    <t>客车（含赠品）</t>
  </si>
  <si>
    <t>XML6532J38</t>
  </si>
  <si>
    <t>87140A</t>
  </si>
  <si>
    <t>LL3AAAAC8FA006401</t>
  </si>
  <si>
    <t>诺江——铁佛</t>
  </si>
  <si>
    <t>川Y38V80</t>
  </si>
  <si>
    <t>江淮牌HFC6511RA1C8S</t>
  </si>
  <si>
    <t>K12473809</t>
  </si>
  <si>
    <t>LJ166A330L2205830</t>
  </si>
  <si>
    <t>诺江—铁佛</t>
  </si>
  <si>
    <t>川Y20867</t>
  </si>
  <si>
    <t>金旅牌XML6559J25</t>
  </si>
  <si>
    <t>LL3AAAAC3JA006556</t>
  </si>
  <si>
    <t>川Y20232</t>
  </si>
  <si>
    <t>中通牌LCK6601D5H</t>
  </si>
  <si>
    <t>FGGJAK00510</t>
  </si>
  <si>
    <t>LJ166D3C8L3000851</t>
  </si>
  <si>
    <t>诺江—兴隆</t>
  </si>
  <si>
    <t>川Y79F62</t>
  </si>
  <si>
    <t>商务车</t>
  </si>
  <si>
    <t>金龙牌XMQ5033XSW15</t>
  </si>
  <si>
    <t>LA69BAA31JB508683</t>
  </si>
  <si>
    <t>诺江——鞍子村</t>
  </si>
  <si>
    <t>川Y21349</t>
  </si>
  <si>
    <t>大马牌HKL6540CE</t>
  </si>
  <si>
    <t>R9197020599</t>
  </si>
  <si>
    <t>LJSKA3BH5KD003067</t>
  </si>
  <si>
    <t>诺江——至诚柏溪村</t>
  </si>
  <si>
    <t>川Y24558</t>
  </si>
  <si>
    <t>大通牌SH6571A4D5</t>
  </si>
  <si>
    <t>R9207025025</t>
  </si>
  <si>
    <t>LSKG5GC1XLA094491</t>
  </si>
  <si>
    <t>诺江镇——至诚镇</t>
  </si>
  <si>
    <t>川Y18849</t>
  </si>
  <si>
    <t>东风牌EQ6008PA1</t>
  </si>
  <si>
    <t>FG30DF00091</t>
  </si>
  <si>
    <t>LGC169C2X96010859</t>
  </si>
  <si>
    <t>东山——诺江镇</t>
  </si>
  <si>
    <t>川Y71Y65</t>
  </si>
  <si>
    <t>长安牌SC6492DAA6</t>
  </si>
  <si>
    <t>LAJAF001107</t>
  </si>
  <si>
    <t>LS4ASE2E4LG907609</t>
  </si>
  <si>
    <t>诺江镇——铁佛镇跑马村</t>
  </si>
  <si>
    <t>川Y26358</t>
  </si>
  <si>
    <t>R9199028010</t>
  </si>
  <si>
    <t>LVME2D4A0MB500075</t>
  </si>
  <si>
    <t>诺江镇-胜利大营村</t>
  </si>
  <si>
    <t>川Y20791</t>
  </si>
  <si>
    <t>R919B034944</t>
  </si>
  <si>
    <t>LVME2D4A3KB420217</t>
  </si>
  <si>
    <t>诺江镇——永安镇</t>
  </si>
  <si>
    <t>川Y24H58</t>
  </si>
  <si>
    <t>商务车（含赠品）</t>
  </si>
  <si>
    <t>金旅牌XML5035XSW65</t>
  </si>
  <si>
    <t>LL3AAAAC5JJA000452</t>
  </si>
  <si>
    <t>诺江——九层</t>
  </si>
  <si>
    <t>川Y26511</t>
  </si>
  <si>
    <t>大通牌</t>
  </si>
  <si>
    <t>R9205011959</t>
  </si>
  <si>
    <t>LSKG5C18LA067886</t>
  </si>
  <si>
    <t>泥溪镇梨园坝——诺江镇</t>
  </si>
  <si>
    <t>川Y21432</t>
  </si>
  <si>
    <t>大通牌SH6001AAD5</t>
  </si>
  <si>
    <t>R9211003880</t>
  </si>
  <si>
    <t>LSKG5GC19MA060026</t>
  </si>
  <si>
    <t>诺江镇-空山</t>
  </si>
  <si>
    <t>川Y18212</t>
  </si>
  <si>
    <t>中型客车</t>
  </si>
  <si>
    <t>金龙牌XMQ6600BED4C</t>
  </si>
  <si>
    <t>R9163008502</t>
  </si>
  <si>
    <t>LA61AAA6XGB600006</t>
  </si>
  <si>
    <t>诺江——喻家河</t>
  </si>
  <si>
    <t>川Y623E5</t>
  </si>
  <si>
    <t>东风牌</t>
  </si>
  <si>
    <t>53EN103</t>
  </si>
  <si>
    <t>LMXA12AG2LZ391736</t>
  </si>
  <si>
    <t>诺江-诺水河</t>
  </si>
  <si>
    <t>川Y18W97</t>
  </si>
  <si>
    <t>小型客车</t>
  </si>
  <si>
    <t>长安牌SC6459AA5</t>
  </si>
  <si>
    <t>J3DJ529817</t>
  </si>
  <si>
    <t>LS4ASG2E8JG201526</t>
  </si>
  <si>
    <t>铁佛——双泉</t>
  </si>
  <si>
    <t>川Y13Y31</t>
  </si>
  <si>
    <t>五菱牌LZW6448EA6A</t>
  </si>
  <si>
    <t>1CL61911041</t>
  </si>
  <si>
    <t>LZWADAGA6LC831953</t>
  </si>
  <si>
    <t>沙溪——永安罗坪村</t>
  </si>
  <si>
    <t>川Y12E71</t>
  </si>
  <si>
    <t>东风牌DXK6440AF9F</t>
  </si>
  <si>
    <t>LVZA43P90KA002136</t>
  </si>
  <si>
    <t>铁佛—双泉辖区行政村</t>
  </si>
  <si>
    <t>川YV6742</t>
  </si>
  <si>
    <t>五菱LZW6446JY</t>
  </si>
  <si>
    <t>UH22821101</t>
  </si>
  <si>
    <t>LZWADAGA8HE036558</t>
  </si>
  <si>
    <t>长胜——钟凤</t>
  </si>
  <si>
    <t>川Y23V25</t>
  </si>
  <si>
    <t>大通牌SH6481N1GB</t>
  </si>
  <si>
    <t>LSKG4BC12KD066932</t>
  </si>
  <si>
    <t>青浴镇—诺水河辖区行政村</t>
  </si>
  <si>
    <t>川YV6828</t>
  </si>
  <si>
    <t>五菱牌</t>
  </si>
  <si>
    <t>UFC2730041</t>
  </si>
  <si>
    <t>LZWADAGA967001613</t>
  </si>
  <si>
    <t>铁佛——文峰</t>
  </si>
  <si>
    <t>川Y73D96</t>
  </si>
  <si>
    <t>五菱牌LZW64780G6H</t>
  </si>
  <si>
    <t>UL50430259</t>
  </si>
  <si>
    <t>LZWADAGA6LE154178</t>
  </si>
  <si>
    <t>民胜镇新场村—民胜镇方山</t>
  </si>
  <si>
    <t>川Y18145</t>
  </si>
  <si>
    <t>R915C021499</t>
  </si>
  <si>
    <t>LA61AAA61FB521905</t>
  </si>
  <si>
    <t>巴中——空山</t>
  </si>
  <si>
    <t>川Y68M39</t>
  </si>
  <si>
    <t>大通牌SH6501A2D5</t>
  </si>
  <si>
    <t>R9208031827</t>
  </si>
  <si>
    <t>LSKG4GC15LA107957</t>
  </si>
  <si>
    <t>至诚镇——巴中</t>
  </si>
  <si>
    <t>川Y23989</t>
  </si>
  <si>
    <t>万达牌WD6600DA</t>
  </si>
  <si>
    <t>YM300CLX0002</t>
  </si>
  <si>
    <t>LWDAACJA3MA210633</t>
  </si>
  <si>
    <t>洪口-达州</t>
  </si>
  <si>
    <t>川Y24408</t>
  </si>
  <si>
    <t>福田牌BJ6549B1DXA-E3</t>
  </si>
  <si>
    <t>SYN9951</t>
  </si>
  <si>
    <t>LVCB2NWA3LS015048</t>
  </si>
  <si>
    <t>诺江镇-鲁坝村</t>
  </si>
  <si>
    <t>川YLC153</t>
  </si>
  <si>
    <t>东风牌LZ6510MQ16MN</t>
  </si>
  <si>
    <t>S1SL614</t>
  </si>
  <si>
    <t>LGG7C2D28HZ408155</t>
  </si>
  <si>
    <t>诺江镇-诺水河</t>
  </si>
  <si>
    <t>川Y513D9</t>
  </si>
  <si>
    <t>江淮牌HFC6511RAIC7S</t>
  </si>
  <si>
    <t>KQ5466371</t>
  </si>
  <si>
    <t>LJ166A334M2212880</t>
  </si>
  <si>
    <t>诺江镇-潮水</t>
  </si>
  <si>
    <t>川Y970D2</t>
  </si>
  <si>
    <t>江淮牌LJ166A336M2212881</t>
  </si>
  <si>
    <t>MD5466366</t>
  </si>
  <si>
    <t>LJ166A336M2212881</t>
  </si>
  <si>
    <t>诺江镇-牛角嵌</t>
  </si>
  <si>
    <t>川Y23865</t>
  </si>
  <si>
    <t>SQR6603H6D</t>
  </si>
  <si>
    <t>R919B034960</t>
  </si>
  <si>
    <t>LVME2D4A3KB420220</t>
  </si>
  <si>
    <t>诺江镇-涪阳</t>
  </si>
  <si>
    <t>川Y18019</t>
  </si>
  <si>
    <t>金龙牌XMQ6532AEG4C</t>
  </si>
  <si>
    <t>LA6PBAA37FB518875</t>
  </si>
  <si>
    <t>诺江镇-草池城子坪村</t>
  </si>
  <si>
    <t>川Y19390</t>
  </si>
  <si>
    <t>金旅XML6532JA5</t>
  </si>
  <si>
    <t>LL2AAAAC1HA002709</t>
  </si>
  <si>
    <t>诺江镇-唐村坝</t>
  </si>
  <si>
    <t>川Y38S70</t>
  </si>
  <si>
    <t>江淮牌</t>
  </si>
  <si>
    <t>K1272544</t>
  </si>
  <si>
    <t>LJ166A333K2223656</t>
  </si>
  <si>
    <t>诺江镇-窑坡里村</t>
  </si>
  <si>
    <t>附件3-2</t>
  </si>
  <si>
    <t>附件3-3</t>
  </si>
  <si>
    <t>附件4-1</t>
  </si>
  <si>
    <t>制表单位：四川万顺旅游客运有限公司</t>
  </si>
  <si>
    <t>川Y21995</t>
  </si>
  <si>
    <t>东风牌EQ6608LTV</t>
  </si>
  <si>
    <t>诺江镇-民胜</t>
  </si>
  <si>
    <t>川Y67L70</t>
  </si>
  <si>
    <t>江淮牌HFC511RA1C75</t>
  </si>
  <si>
    <t>川Y21083</t>
  </si>
  <si>
    <t>烟溪乡-诺江镇</t>
  </si>
  <si>
    <t>川Y55K69</t>
  </si>
  <si>
    <t>江淮牌HFC6511RA1C85</t>
  </si>
  <si>
    <t>洪口镇-万源市</t>
  </si>
  <si>
    <t>川Y79Z92</t>
  </si>
  <si>
    <t>民胜镇-大石桥村</t>
  </si>
  <si>
    <t>川Y97D32</t>
  </si>
  <si>
    <t>沙泥坪村-诺江镇</t>
  </si>
  <si>
    <t>川Y25702</t>
  </si>
  <si>
    <t>宇通牌ZK6609D51</t>
  </si>
  <si>
    <t>诺水河-巴中市</t>
  </si>
  <si>
    <t>川Y79Z60</t>
  </si>
  <si>
    <t>五菱牌LZW6478EA6H</t>
  </si>
  <si>
    <t>铁佛-文峰东山坪村</t>
  </si>
  <si>
    <t>川Y24566</t>
  </si>
  <si>
    <t>诺江镇-空山镇</t>
  </si>
  <si>
    <t>附件4-2</t>
  </si>
  <si>
    <t>附件5-1</t>
  </si>
  <si>
    <t>制表单位：通江县一凡汽车运输有限责任公司</t>
  </si>
  <si>
    <t>姓名</t>
  </si>
  <si>
    <t>车型</t>
  </si>
  <si>
    <t>入司时间</t>
  </si>
  <si>
    <t>社会保险费</t>
  </si>
  <si>
    <t>交强险</t>
  </si>
  <si>
    <t>商业险</t>
  </si>
  <si>
    <t>道路险</t>
  </si>
  <si>
    <t>燃油费</t>
  </si>
  <si>
    <t>安装监控费用</t>
  </si>
  <si>
    <t>二级维护费</t>
  </si>
  <si>
    <t>进站费用</t>
  </si>
  <si>
    <t>李洪川</t>
  </si>
  <si>
    <t>川Y70Z85</t>
  </si>
  <si>
    <t>2020.12.17</t>
  </si>
  <si>
    <t>广纳镇-石墩子村</t>
  </si>
  <si>
    <t>张成泽</t>
  </si>
  <si>
    <t>川Y85R26</t>
  </si>
  <si>
    <t>沙溪镇-大梁城村</t>
  </si>
  <si>
    <t>吴 彬</t>
  </si>
  <si>
    <t>川Y813A1</t>
  </si>
  <si>
    <t>2021.02.08</t>
  </si>
  <si>
    <t>铁佛镇-东山坪村</t>
  </si>
  <si>
    <t>许少平</t>
  </si>
  <si>
    <t>川Y859E7</t>
  </si>
  <si>
    <t>2021.05.25</t>
  </si>
  <si>
    <t>火炬镇-诺江镇</t>
  </si>
  <si>
    <t>赖成明</t>
  </si>
  <si>
    <t>川Y28923</t>
  </si>
  <si>
    <t>大马牌</t>
  </si>
  <si>
    <t>2021.06.07</t>
  </si>
  <si>
    <t>诺江镇-泥溪柏垭口村</t>
  </si>
  <si>
    <t>吴晓辉</t>
  </si>
  <si>
    <t>川Y27600</t>
  </si>
  <si>
    <t>福田牌</t>
  </si>
  <si>
    <t>2021.08.18</t>
  </si>
  <si>
    <t>诺江镇-泥溪马家河村</t>
  </si>
  <si>
    <t>陈力楷</t>
  </si>
  <si>
    <t>川Y48T32</t>
  </si>
  <si>
    <t>2021.11.25</t>
  </si>
  <si>
    <t>诺江镇-铁佛胜利村</t>
  </si>
  <si>
    <t>车辆按97%计提折旧费，按7年或8年进行摊销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</si>
</sst>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176" formatCode="#,##0.00_ "/>
    <numFmt numFmtId="177" formatCode="yyyy&quot;年&quot;m&quot;月&quot;d&quot;日&quot;;@"/>
    <numFmt numFmtId="42" formatCode="_ &quot;￥&quot;* #,##0_ ;_ &quot;￥&quot;* \-#,##0_ ;_ &quot;￥&quot;* &quot;-&quot;_ ;_ @_ "/>
    <numFmt numFmtId="178" formatCode="yyyy&quot;年&quot;m&quot;月&quot;;@"/>
    <numFmt numFmtId="44" formatCode="_ &quot;￥&quot;* #,##0.00_ ;_ &quot;￥&quot;* \-#,##0.00_ ;_ &quot;￥&quot;* &quot;-&quot;??_ ;_ @_ "/>
    <numFmt numFmtId="179" formatCode="0000000"/>
    <numFmt numFmtId="41" formatCode="_ * #,##0_ ;_ * \-#,##0_ ;_ * &quot;-&quot;_ ;_ @_ "/>
    <numFmt numFmtId="180" formatCode="yyyy&quot;年&quot;mm&quot;月&quot;dd&quot;日&quot;;@"/>
    <numFmt numFmtId="181" formatCode="#,##0.0000000_ "/>
    <numFmt numFmtId="182" formatCode="#,##0_ "/>
    <numFmt numFmtId="183" formatCode="yyyy&quot;年&quot;mm&quot;月&quot;dd&quot;日&quot;"/>
  </numFmts>
  <fonts count="7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Arial Narrow"/>
      <charset val="134"/>
    </font>
    <font>
      <b/>
      <sz val="9"/>
      <color rgb="FF000000"/>
      <name val="宋体"/>
      <charset val="134"/>
    </font>
    <font>
      <b/>
      <sz val="9"/>
      <color theme="1"/>
      <name val="Arial Narrow"/>
      <charset val="134"/>
    </font>
    <font>
      <sz val="1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  <scheme val="minor"/>
    </font>
    <font>
      <sz val="10"/>
      <name val="宋体"/>
      <charset val="134"/>
    </font>
    <font>
      <sz val="9"/>
      <name val="Arial Narrow"/>
      <charset val="134"/>
    </font>
    <font>
      <b/>
      <sz val="12"/>
      <name val="宋体"/>
      <charset val="134"/>
    </font>
    <font>
      <b/>
      <sz val="9"/>
      <name val="宋体"/>
      <charset val="134"/>
      <scheme val="major"/>
    </font>
    <font>
      <sz val="8"/>
      <name val="宋体"/>
      <charset val="134"/>
      <scheme val="major"/>
    </font>
    <font>
      <b/>
      <sz val="8"/>
      <name val="宋体"/>
      <charset val="134"/>
      <scheme val="major"/>
    </font>
    <font>
      <sz val="12"/>
      <name val="宋体"/>
      <charset val="134"/>
    </font>
    <font>
      <b/>
      <sz val="9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Arial Narrow"/>
      <charset val="134"/>
    </font>
    <font>
      <sz val="9"/>
      <name val="宋体"/>
      <charset val="134"/>
    </font>
    <font>
      <sz val="9"/>
      <color theme="1"/>
      <name val="Arial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  <scheme val="minor"/>
    </font>
    <font>
      <b/>
      <sz val="14"/>
      <name val="方正小标宋简体"/>
      <charset val="134"/>
    </font>
    <font>
      <b/>
      <sz val="9"/>
      <color rgb="FFFF0000"/>
      <name val="Arial Narrow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70" fillId="19" borderId="15" applyNumberFormat="0" applyAlignment="0" applyProtection="0">
      <alignment vertical="center"/>
    </xf>
    <xf numFmtId="0" fontId="71" fillId="19" borderId="10" applyNumberFormat="0" applyAlignment="0" applyProtection="0">
      <alignment vertical="center"/>
    </xf>
    <xf numFmtId="0" fontId="64" fillId="14" borderId="12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54" fillId="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5" fillId="0" borderId="0"/>
  </cellStyleXfs>
  <cellXfs count="2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51" applyFont="1" applyAlignment="1"/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shrinkToFit="1"/>
    </xf>
    <xf numFmtId="57" fontId="9" fillId="0" borderId="1" xfId="51" applyNumberFormat="1" applyFont="1" applyFill="1" applyBorder="1" applyAlignment="1">
      <alignment horizontal="center"/>
    </xf>
    <xf numFmtId="176" fontId="10" fillId="0" borderId="1" xfId="0" applyNumberFormat="1" applyFont="1" applyBorder="1" applyAlignment="1">
      <alignment horizontal="right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shrinkToFit="1"/>
    </xf>
    <xf numFmtId="176" fontId="12" fillId="0" borderId="1" xfId="0" applyNumberFormat="1" applyFont="1" applyBorder="1" applyAlignment="1">
      <alignment horizontal="right" shrinkToFit="1"/>
    </xf>
    <xf numFmtId="176" fontId="2" fillId="2" borderId="0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15" fillId="0" borderId="0" xfId="0" applyFont="1" applyFill="1" applyAlignment="1">
      <alignment vertical="center"/>
    </xf>
    <xf numFmtId="176" fontId="16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76" fontId="1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16" fillId="0" borderId="1" xfId="0" applyNumberFormat="1" applyFont="1" applyBorder="1" applyAlignment="1">
      <alignment horizontal="center" shrinkToFit="1"/>
    </xf>
    <xf numFmtId="176" fontId="16" fillId="0" borderId="1" xfId="0" applyNumberFormat="1" applyFont="1" applyFill="1" applyBorder="1" applyAlignment="1">
      <alignment horizontal="center" wrapText="1" shrinkToFit="1"/>
    </xf>
    <xf numFmtId="0" fontId="2" fillId="0" borderId="0" xfId="0" applyFont="1" applyFill="1" applyBorder="1" applyAlignment="1"/>
    <xf numFmtId="0" fontId="15" fillId="0" borderId="0" xfId="0" applyFont="1" applyFill="1" applyAlignment="1">
      <alignment horizontal="right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3" fillId="0" borderId="0" xfId="51" applyFont="1" applyAlignment="1">
      <alignment horizontal="center" vertical="center"/>
    </xf>
    <xf numFmtId="0" fontId="5" fillId="0" borderId="0" xfId="51" applyFont="1" applyFill="1" applyAlignment="1">
      <alignment vertical="center"/>
    </xf>
    <xf numFmtId="0" fontId="5" fillId="0" borderId="0" xfId="51" applyFont="1" applyFill="1" applyAlignment="1">
      <alignment horizontal="center" vertical="center"/>
    </xf>
    <xf numFmtId="177" fontId="5" fillId="0" borderId="0" xfId="51" applyNumberFormat="1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5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1" xfId="51" applyNumberFormat="1" applyFont="1" applyFill="1" applyBorder="1" applyAlignment="1">
      <alignment horizontal="center" vertical="center"/>
    </xf>
    <xf numFmtId="0" fontId="21" fillId="0" borderId="1" xfId="51" applyNumberFormat="1" applyFont="1" applyFill="1" applyBorder="1" applyAlignment="1">
      <alignment horizontal="left" vertical="center" wrapText="1"/>
    </xf>
    <xf numFmtId="180" fontId="21" fillId="0" borderId="1" xfId="51" applyNumberFormat="1" applyFont="1" applyFill="1" applyBorder="1" applyAlignment="1">
      <alignment horizontal="right" vertical="center"/>
    </xf>
    <xf numFmtId="0" fontId="21" fillId="0" borderId="1" xfId="51" applyNumberFormat="1" applyFont="1" applyFill="1" applyBorder="1" applyAlignment="1">
      <alignment horizontal="center" vertical="center"/>
    </xf>
    <xf numFmtId="0" fontId="21" fillId="0" borderId="1" xfId="51" applyNumberFormat="1" applyFont="1" applyFill="1" applyBorder="1" applyAlignment="1">
      <alignment horizontal="center" vertical="center" wrapText="1"/>
    </xf>
    <xf numFmtId="0" fontId="26" fillId="0" borderId="1" xfId="51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/>
    </xf>
    <xf numFmtId="176" fontId="22" fillId="0" borderId="1" xfId="0" applyNumberFormat="1" applyFont="1" applyBorder="1" applyAlignment="1">
      <alignment horizontal="right"/>
    </xf>
    <xf numFmtId="0" fontId="27" fillId="0" borderId="1" xfId="0" applyFont="1" applyFill="1" applyBorder="1" applyAlignment="1">
      <alignment horizontal="center" shrinkToFit="1"/>
    </xf>
    <xf numFmtId="0" fontId="28" fillId="0" borderId="1" xfId="0" applyFont="1" applyFill="1" applyBorder="1" applyAlignment="1">
      <alignment horizontal="center" shrinkToFit="1"/>
    </xf>
    <xf numFmtId="182" fontId="12" fillId="0" borderId="1" xfId="0" applyNumberFormat="1" applyFont="1" applyBorder="1" applyAlignment="1">
      <alignment horizontal="right" shrinkToFit="1"/>
    </xf>
    <xf numFmtId="0" fontId="27" fillId="0" borderId="0" xfId="0" applyFont="1" applyFill="1" applyBorder="1" applyAlignment="1">
      <alignment horizontal="center" shrinkToFit="1"/>
    </xf>
    <xf numFmtId="0" fontId="28" fillId="0" borderId="0" xfId="0" applyFont="1" applyFill="1" applyBorder="1" applyAlignment="1">
      <alignment horizontal="center" shrinkToFit="1"/>
    </xf>
    <xf numFmtId="0" fontId="22" fillId="0" borderId="0" xfId="0" applyFont="1" applyBorder="1" applyAlignment="1">
      <alignment horizontal="center"/>
    </xf>
    <xf numFmtId="182" fontId="12" fillId="0" borderId="0" xfId="0" applyNumberFormat="1" applyFont="1" applyBorder="1" applyAlignment="1">
      <alignment horizontal="right" shrinkToFit="1"/>
    </xf>
    <xf numFmtId="176" fontId="22" fillId="0" borderId="0" xfId="0" applyNumberFormat="1" applyFont="1" applyBorder="1" applyAlignment="1">
      <alignment horizontal="right"/>
    </xf>
    <xf numFmtId="176" fontId="12" fillId="0" borderId="0" xfId="0" applyNumberFormat="1" applyFont="1" applyBorder="1" applyAlignment="1">
      <alignment horizontal="right" shrinkToFit="1"/>
    </xf>
    <xf numFmtId="176" fontId="29" fillId="0" borderId="0" xfId="0" applyNumberFormat="1" applyFont="1" applyFill="1" applyAlignment="1">
      <alignment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" xfId="51" applyFont="1" applyFill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right"/>
    </xf>
    <xf numFmtId="176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right" shrinkToFit="1"/>
    </xf>
    <xf numFmtId="176" fontId="22" fillId="0" borderId="1" xfId="0" applyNumberFormat="1" applyFont="1" applyBorder="1" applyAlignment="1">
      <alignment horizontal="center" shrinkToFit="1"/>
    </xf>
    <xf numFmtId="176" fontId="22" fillId="0" borderId="1" xfId="0" applyNumberFormat="1" applyFont="1" applyBorder="1" applyAlignment="1">
      <alignment horizontal="center" wrapText="1" shrinkToFit="1"/>
    </xf>
    <xf numFmtId="176" fontId="22" fillId="0" borderId="0" xfId="0" applyNumberFormat="1" applyFont="1" applyBorder="1" applyAlignment="1">
      <alignment horizontal="center" wrapText="1" shrinkToFit="1"/>
    </xf>
    <xf numFmtId="0" fontId="5" fillId="0" borderId="0" xfId="0" applyFont="1" applyFill="1" applyAlignment="1">
      <alignment horizontal="right"/>
    </xf>
    <xf numFmtId="0" fontId="28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/>
    <xf numFmtId="0" fontId="34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 wrapText="1"/>
    </xf>
    <xf numFmtId="176" fontId="35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wrapText="1"/>
    </xf>
    <xf numFmtId="0" fontId="33" fillId="0" borderId="1" xfId="0" applyFont="1" applyFill="1" applyBorder="1" applyAlignment="1">
      <alignment horizontal="left"/>
    </xf>
    <xf numFmtId="183" fontId="33" fillId="0" borderId="1" xfId="0" applyNumberFormat="1" applyFont="1" applyFill="1" applyBorder="1" applyAlignment="1"/>
    <xf numFmtId="0" fontId="33" fillId="0" borderId="1" xfId="0" applyFont="1" applyFill="1" applyBorder="1" applyAlignment="1">
      <alignment horizontal="left" wrapText="1"/>
    </xf>
    <xf numFmtId="0" fontId="33" fillId="0" borderId="1" xfId="0" applyFont="1" applyFill="1" applyBorder="1" applyAlignment="1">
      <alignment horizontal="center" wrapText="1"/>
    </xf>
    <xf numFmtId="176" fontId="10" fillId="0" borderId="1" xfId="0" applyNumberFormat="1" applyFont="1" applyFill="1" applyBorder="1" applyAlignment="1">
      <alignment horizontal="right" shrinkToFi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34" fillId="0" borderId="1" xfId="0" applyFont="1" applyFill="1" applyBorder="1" applyAlignment="1"/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36" fillId="0" borderId="1" xfId="0" applyNumberFormat="1" applyFont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/>
    </xf>
    <xf numFmtId="0" fontId="37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1" fillId="0" borderId="1" xfId="51" applyFont="1" applyBorder="1" applyAlignment="1">
      <alignment horizontal="center" vertical="center" wrapText="1"/>
    </xf>
    <xf numFmtId="176" fontId="36" fillId="0" borderId="1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8" fillId="0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49" fontId="33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39" fillId="0" borderId="1" xfId="0" applyNumberFormat="1" applyFont="1" applyFill="1" applyBorder="1" applyAlignment="1">
      <alignment horizontal="right" shrinkToFit="1"/>
    </xf>
    <xf numFmtId="0" fontId="7" fillId="0" borderId="2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33" fillId="0" borderId="1" xfId="0" applyFont="1" applyFill="1" applyBorder="1" applyAlignment="1"/>
    <xf numFmtId="176" fontId="3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176" fontId="7" fillId="0" borderId="1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vertical="center" wrapText="1"/>
    </xf>
    <xf numFmtId="0" fontId="9" fillId="0" borderId="0" xfId="0" applyFont="1" applyFill="1" applyAlignment="1"/>
    <xf numFmtId="0" fontId="16" fillId="0" borderId="0" xfId="0" applyFont="1" applyAlignment="1">
      <alignment horizontal="right"/>
    </xf>
    <xf numFmtId="0" fontId="0" fillId="0" borderId="0" xfId="0" applyFill="1" applyAlignment="1">
      <alignment horizontal="left" vertical="center" wrapText="1"/>
    </xf>
    <xf numFmtId="176" fontId="20" fillId="0" borderId="0" xfId="0" applyNumberFormat="1" applyFont="1" applyFill="1" applyAlignment="1">
      <alignment vertical="center"/>
    </xf>
    <xf numFmtId="176" fontId="0" fillId="0" borderId="0" xfId="0" applyNumberFormat="1" applyFill="1" applyAlignment="1"/>
    <xf numFmtId="0" fontId="0" fillId="0" borderId="0" xfId="0" applyFill="1" applyAlignment="1">
      <alignment horizontal="center" vertical="center"/>
    </xf>
    <xf numFmtId="0" fontId="5" fillId="0" borderId="0" xfId="51" applyFont="1" applyAlignment="1">
      <alignment vertical="center"/>
    </xf>
    <xf numFmtId="0" fontId="5" fillId="0" borderId="0" xfId="51" applyFont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0" fillId="0" borderId="1" xfId="51" applyNumberFormat="1" applyFont="1" applyFill="1" applyBorder="1" applyAlignment="1">
      <alignment horizontal="center"/>
    </xf>
    <xf numFmtId="179" fontId="9" fillId="0" borderId="1" xfId="0" applyNumberFormat="1" applyFont="1" applyFill="1" applyBorder="1" applyAlignment="1">
      <alignment horizontal="center" wrapText="1"/>
    </xf>
    <xf numFmtId="0" fontId="9" fillId="0" borderId="1" xfId="51" applyNumberFormat="1" applyFont="1" applyFill="1" applyBorder="1" applyAlignment="1">
      <alignment horizontal="center"/>
    </xf>
    <xf numFmtId="182" fontId="10" fillId="0" borderId="1" xfId="0" applyNumberFormat="1" applyFont="1" applyBorder="1" applyAlignment="1">
      <alignment horizontal="right" shrinkToFit="1"/>
    </xf>
    <xf numFmtId="49" fontId="9" fillId="0" borderId="1" xfId="5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182" fontId="16" fillId="0" borderId="1" xfId="0" applyNumberFormat="1" applyFont="1" applyBorder="1" applyAlignment="1">
      <alignment horizontal="center" wrapText="1"/>
    </xf>
    <xf numFmtId="176" fontId="16" fillId="0" borderId="1" xfId="0" applyNumberFormat="1" applyFont="1" applyBorder="1" applyAlignment="1">
      <alignment horizontal="right"/>
    </xf>
    <xf numFmtId="0" fontId="5" fillId="0" borderId="0" xfId="51" applyFont="1" applyAlignment="1">
      <alignment horizontal="left" vertical="center" wrapText="1"/>
    </xf>
    <xf numFmtId="176" fontId="38" fillId="0" borderId="0" xfId="0" applyNumberFormat="1" applyFont="1" applyFill="1" applyAlignment="1">
      <alignment vertical="center"/>
    </xf>
    <xf numFmtId="0" fontId="40" fillId="0" borderId="1" xfId="51" applyNumberFormat="1" applyFont="1" applyFill="1" applyBorder="1" applyAlignment="1">
      <alignment horizontal="left" wrapText="1"/>
    </xf>
    <xf numFmtId="176" fontId="41" fillId="0" borderId="1" xfId="0" applyNumberFormat="1" applyFont="1" applyBorder="1" applyAlignment="1">
      <alignment horizontal="right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wrapText="1"/>
    </xf>
    <xf numFmtId="176" fontId="3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5" fillId="0" borderId="0" xfId="51" applyFont="1" applyAlignment="1">
      <alignment horizontal="right"/>
    </xf>
    <xf numFmtId="176" fontId="9" fillId="0" borderId="0" xfId="0" applyNumberFormat="1" applyFont="1" applyFill="1" applyAlignment="1"/>
    <xf numFmtId="0" fontId="16" fillId="0" borderId="0" xfId="0" applyFont="1" applyFill="1" applyAlignment="1"/>
    <xf numFmtId="178" fontId="9" fillId="0" borderId="1" xfId="51" applyNumberFormat="1" applyFont="1" applyFill="1" applyBorder="1" applyAlignment="1">
      <alignment horizontal="center"/>
    </xf>
    <xf numFmtId="57" fontId="9" fillId="0" borderId="1" xfId="0" applyNumberFormat="1" applyFont="1" applyFill="1" applyBorder="1" applyAlignment="1">
      <alignment horizontal="center"/>
    </xf>
    <xf numFmtId="0" fontId="5" fillId="0" borderId="0" xfId="51" applyFont="1" applyAlignment="1">
      <alignment horizontal="center"/>
    </xf>
    <xf numFmtId="0" fontId="16" fillId="0" borderId="0" xfId="0" applyFont="1" applyFill="1" applyAlignment="1">
      <alignment horizontal="right"/>
    </xf>
    <xf numFmtId="49" fontId="9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182" fontId="12" fillId="0" borderId="1" xfId="0" applyNumberFormat="1" applyFont="1" applyFill="1" applyBorder="1" applyAlignment="1">
      <alignment horizontal="right" shrinkToFit="1"/>
    </xf>
    <xf numFmtId="176" fontId="16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182" fontId="12" fillId="0" borderId="0" xfId="0" applyNumberFormat="1" applyFont="1" applyFill="1" applyAlignment="1">
      <alignment horizontal="right" shrinkToFit="1"/>
    </xf>
    <xf numFmtId="176" fontId="16" fillId="0" borderId="0" xfId="0" applyNumberFormat="1" applyFont="1" applyFill="1" applyAlignment="1">
      <alignment horizontal="right"/>
    </xf>
    <xf numFmtId="0" fontId="9" fillId="0" borderId="1" xfId="51" applyNumberFormat="1" applyFont="1" applyFill="1" applyBorder="1" applyAlignment="1">
      <alignment horizontal="left" wrapText="1"/>
    </xf>
    <xf numFmtId="176" fontId="12" fillId="0" borderId="1" xfId="0" applyNumberFormat="1" applyFont="1" applyFill="1" applyBorder="1" applyAlignment="1">
      <alignment horizontal="right" shrinkToFit="1"/>
    </xf>
    <xf numFmtId="176" fontId="12" fillId="0" borderId="0" xfId="0" applyNumberFormat="1" applyFont="1" applyFill="1" applyAlignment="1">
      <alignment horizontal="right" shrinkToFit="1"/>
    </xf>
    <xf numFmtId="176" fontId="16" fillId="0" borderId="1" xfId="0" applyNumberFormat="1" applyFont="1" applyFill="1" applyBorder="1" applyAlignment="1">
      <alignment horizontal="center" shrinkToFit="1"/>
    </xf>
    <xf numFmtId="176" fontId="16" fillId="0" borderId="0" xfId="0" applyNumberFormat="1" applyFont="1" applyFill="1" applyAlignment="1">
      <alignment horizontal="center" shrinkToFit="1"/>
    </xf>
    <xf numFmtId="176" fontId="0" fillId="0" borderId="0" xfId="0" applyNumberFormat="1" applyFill="1" applyAlignment="1">
      <alignment horizontal="center" vertical="center"/>
    </xf>
    <xf numFmtId="176" fontId="42" fillId="0" borderId="0" xfId="0" applyNumberFormat="1" applyFont="1" applyFill="1" applyAlignment="1">
      <alignment horizontal="center" vertical="center"/>
    </xf>
    <xf numFmtId="176" fontId="42" fillId="0" borderId="0" xfId="0" applyNumberFormat="1" applyFont="1" applyFill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19" fillId="0" borderId="0" xfId="0" applyFont="1" applyBorder="1"/>
    <xf numFmtId="0" fontId="3" fillId="0" borderId="0" xfId="0" applyFont="1" applyBorder="1"/>
    <xf numFmtId="0" fontId="20" fillId="0" borderId="0" xfId="0" applyFont="1" applyBorder="1"/>
    <xf numFmtId="0" fontId="20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44" fillId="0" borderId="0" xfId="0" applyFont="1" applyBorder="1" applyAlignment="1">
      <alignment horizontal="justify" vertical="center"/>
    </xf>
    <xf numFmtId="0" fontId="19" fillId="0" borderId="0" xfId="0" applyFont="1" applyFill="1" applyBorder="1"/>
    <xf numFmtId="0" fontId="45" fillId="0" borderId="0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46" fillId="0" borderId="1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176" fontId="0" fillId="0" borderId="0" xfId="0" applyNumberFormat="1" applyBorder="1"/>
    <xf numFmtId="181" fontId="0" fillId="0" borderId="0" xfId="0" applyNumberFormat="1" applyBorder="1"/>
    <xf numFmtId="181" fontId="0" fillId="0" borderId="0" xfId="0" applyNumberFormat="1" applyFill="1" applyBorder="1"/>
    <xf numFmtId="0" fontId="48" fillId="0" borderId="0" xfId="0" applyFont="1" applyFill="1" applyBorder="1"/>
    <xf numFmtId="0" fontId="49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0" fillId="0" borderId="1" xfId="0" applyNumberFormat="1" applyFont="1" applyBorder="1" applyAlignment="1">
      <alignment horizontal="right" shrinkToFit="1"/>
    </xf>
    <xf numFmtId="0" fontId="51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0" fillId="0" borderId="1" xfId="0" applyBorder="1"/>
    <xf numFmtId="181" fontId="20" fillId="0" borderId="0" xfId="0" applyNumberFormat="1" applyFont="1" applyFill="1" applyBorder="1"/>
    <xf numFmtId="0" fontId="33" fillId="0" borderId="1" xfId="0" applyFont="1" applyFill="1" applyBorder="1" applyAlignment="1" quotePrefix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showZeros="0" view="pageBreakPreview" zoomScaleNormal="100" zoomScaleSheetLayoutView="100" workbookViewId="0">
      <pane ySplit="4" topLeftCell="A31" activePane="bottomLeft" state="frozen"/>
      <selection/>
      <selection pane="bottomLeft" activeCell="N11" sqref="N11"/>
    </sheetView>
  </sheetViews>
  <sheetFormatPr defaultColWidth="8.75" defaultRowHeight="13.5"/>
  <cols>
    <col min="1" max="1" width="20.5" style="194" customWidth="1"/>
    <col min="2" max="2" width="14.125" style="194" customWidth="1"/>
    <col min="3" max="3" width="9.88333333333333" style="194" customWidth="1"/>
    <col min="4" max="6" width="9.88333333333333" style="193" customWidth="1"/>
    <col min="7" max="7" width="10.5" style="194" customWidth="1"/>
    <col min="8" max="10" width="10.5" style="193" customWidth="1"/>
    <col min="11" max="11" width="9.63333333333333" style="194" customWidth="1"/>
    <col min="12" max="13" width="9.63333333333333" style="192" customWidth="1"/>
    <col min="14" max="14" width="10" style="194" customWidth="1"/>
    <col min="15" max="15" width="9.875" style="194" customWidth="1"/>
    <col min="16" max="16" width="32.15" style="194" customWidth="1"/>
    <col min="17" max="17" width="8.75" style="194"/>
    <col min="18" max="18" width="13.75" style="194"/>
    <col min="19" max="19" width="12.625" style="194"/>
    <col min="20" max="16384" width="8.75" style="194"/>
  </cols>
  <sheetData>
    <row r="1" s="189" customFormat="1" ht="14.25" spans="1:13">
      <c r="A1" s="195" t="s">
        <v>0</v>
      </c>
      <c r="B1" s="196"/>
      <c r="D1" s="197"/>
      <c r="E1" s="197"/>
      <c r="F1" s="197"/>
      <c r="H1" s="197"/>
      <c r="I1" s="197"/>
      <c r="J1" s="197"/>
      <c r="L1" s="218"/>
      <c r="M1" s="218"/>
    </row>
    <row r="2" ht="24" customHeight="1" spans="1:16">
      <c r="A2" s="198" t="s">
        <v>1</v>
      </c>
      <c r="B2" s="198"/>
      <c r="C2" s="198"/>
      <c r="D2" s="199"/>
      <c r="E2" s="199"/>
      <c r="F2" s="199"/>
      <c r="G2" s="198"/>
      <c r="H2" s="199"/>
      <c r="I2" s="199"/>
      <c r="J2" s="199"/>
      <c r="K2" s="198"/>
      <c r="L2" s="219"/>
      <c r="M2" s="219"/>
      <c r="N2" s="198"/>
      <c r="O2" s="198"/>
      <c r="P2" s="198"/>
    </row>
    <row r="3" s="190" customFormat="1" ht="48" customHeight="1" spans="1:16">
      <c r="A3" s="200" t="s">
        <v>2</v>
      </c>
      <c r="B3" s="200" t="s">
        <v>3</v>
      </c>
      <c r="C3" s="201" t="s">
        <v>4</v>
      </c>
      <c r="D3" s="202"/>
      <c r="E3" s="202"/>
      <c r="F3" s="202"/>
      <c r="G3" s="201" t="s">
        <v>5</v>
      </c>
      <c r="H3" s="202"/>
      <c r="I3" s="202"/>
      <c r="J3" s="202"/>
      <c r="K3" s="201" t="s">
        <v>6</v>
      </c>
      <c r="L3" s="202"/>
      <c r="M3" s="202"/>
      <c r="N3" s="201" t="s">
        <v>7</v>
      </c>
      <c r="O3" s="200" t="s">
        <v>8</v>
      </c>
      <c r="P3" s="200" t="s">
        <v>9</v>
      </c>
    </row>
    <row r="4" s="190" customFormat="1" ht="27" customHeight="1" spans="1:16">
      <c r="A4" s="203"/>
      <c r="B4" s="203"/>
      <c r="C4" s="201" t="s">
        <v>10</v>
      </c>
      <c r="D4" s="204" t="s">
        <v>11</v>
      </c>
      <c r="E4" s="204" t="s">
        <v>12</v>
      </c>
      <c r="F4" s="204" t="s">
        <v>13</v>
      </c>
      <c r="G4" s="201" t="s">
        <v>10</v>
      </c>
      <c r="H4" s="204" t="s">
        <v>11</v>
      </c>
      <c r="I4" s="204" t="s">
        <v>12</v>
      </c>
      <c r="J4" s="204" t="s">
        <v>13</v>
      </c>
      <c r="K4" s="201" t="s">
        <v>10</v>
      </c>
      <c r="L4" s="220" t="s">
        <v>11</v>
      </c>
      <c r="M4" s="204" t="s">
        <v>13</v>
      </c>
      <c r="N4" s="201" t="s">
        <v>10</v>
      </c>
      <c r="O4" s="203"/>
      <c r="P4" s="203"/>
    </row>
    <row r="5" s="191" customFormat="1" ht="51" customHeight="1" spans="1:16">
      <c r="A5" s="205" t="s">
        <v>14</v>
      </c>
      <c r="B5" s="205" t="s">
        <v>15</v>
      </c>
      <c r="C5" s="62">
        <v>86</v>
      </c>
      <c r="D5" s="62">
        <v>123</v>
      </c>
      <c r="E5" s="62">
        <v>125</v>
      </c>
      <c r="F5" s="62">
        <f>ROUND(SUM(C5:E5)/3,2)</f>
        <v>111.33</v>
      </c>
      <c r="G5" s="62">
        <v>254</v>
      </c>
      <c r="H5" s="62">
        <v>308</v>
      </c>
      <c r="I5" s="62">
        <v>352</v>
      </c>
      <c r="J5" s="62">
        <f>ROUND(SUM(G5:I5)/3,2)</f>
        <v>304.67</v>
      </c>
      <c r="K5" s="62">
        <v>28</v>
      </c>
      <c r="L5" s="62">
        <v>19</v>
      </c>
      <c r="M5" s="62">
        <f>ROUND(SUM(K5:L5)/2,2)</f>
        <v>23.5</v>
      </c>
      <c r="N5" s="62">
        <v>29</v>
      </c>
      <c r="O5" s="62">
        <f>ROUND(SUM(C5:E5,G5:I5,K5:L5,N5)/9,2)</f>
        <v>147.11</v>
      </c>
      <c r="P5" s="221" t="s">
        <v>16</v>
      </c>
    </row>
    <row r="6" ht="28" customHeight="1" spans="1:16">
      <c r="A6" s="206" t="s">
        <v>17</v>
      </c>
      <c r="B6" s="205" t="s">
        <v>18</v>
      </c>
      <c r="C6" s="19">
        <f>C7</f>
        <v>66240</v>
      </c>
      <c r="D6" s="181">
        <f>D7</f>
        <v>61836.92</v>
      </c>
      <c r="E6" s="181">
        <f>E7</f>
        <v>52320</v>
      </c>
      <c r="F6" s="19">
        <f>ROUND(SUM(C6:E6)/3,2)</f>
        <v>60132.31</v>
      </c>
      <c r="G6" s="19">
        <f>G7</f>
        <v>56191.2</v>
      </c>
      <c r="H6" s="181">
        <f>H7</f>
        <v>56191.2</v>
      </c>
      <c r="I6" s="181">
        <f>I7</f>
        <v>55818</v>
      </c>
      <c r="J6" s="19">
        <f>ROUND(SUM(G6:I6)/3,2)</f>
        <v>56066.8</v>
      </c>
      <c r="K6" s="19">
        <f>K7</f>
        <v>51370.67</v>
      </c>
      <c r="L6" s="128">
        <f>L7</f>
        <v>64064</v>
      </c>
      <c r="M6" s="19">
        <f>ROUND(SUM(K6:L6)/2,2)</f>
        <v>57717.34</v>
      </c>
      <c r="N6" s="19">
        <f>N7</f>
        <v>53088</v>
      </c>
      <c r="O6" s="19">
        <f>ROUND(SUM(C6:E6,G6:I6,K6:L6,N6)/9,2)</f>
        <v>57457.78</v>
      </c>
      <c r="P6" s="214" t="s">
        <v>19</v>
      </c>
    </row>
    <row r="7" ht="28" customHeight="1" spans="1:16">
      <c r="A7" s="207" t="s">
        <v>20</v>
      </c>
      <c r="B7" s="208" t="s">
        <v>21</v>
      </c>
      <c r="C7" s="14">
        <f>'巴运（2021）'!AI20</f>
        <v>66240</v>
      </c>
      <c r="D7" s="105">
        <f>'巴运 (2020)'!AI19</f>
        <v>61836.92</v>
      </c>
      <c r="E7" s="105">
        <f>'巴运 (2019)'!AI13</f>
        <v>52320</v>
      </c>
      <c r="F7" s="14">
        <f t="shared" ref="F7:F45" si="0">ROUND(SUM(C7:E7)/3,2)</f>
        <v>60132.31</v>
      </c>
      <c r="G7" s="14">
        <f>'利民（2021）'!AM46</f>
        <v>56191.2</v>
      </c>
      <c r="H7" s="105">
        <f>'利民（2021）'!AM46</f>
        <v>56191.2</v>
      </c>
      <c r="I7" s="105">
        <f>'利民 (2019)'!AM22</f>
        <v>55818</v>
      </c>
      <c r="J7" s="14">
        <f>ROUND(SUM(G7:I7)/3,2)</f>
        <v>56066.8</v>
      </c>
      <c r="K7" s="14">
        <f>'万顺（2021）'!AH15</f>
        <v>51370.67</v>
      </c>
      <c r="L7" s="78">
        <f>'万顺 (2020)'!AH14</f>
        <v>64064</v>
      </c>
      <c r="M7" s="14">
        <f t="shared" ref="M7:M45" si="1">ROUND(SUM(K7:L7)/2,2)</f>
        <v>57717.34</v>
      </c>
      <c r="N7" s="14">
        <f>'一凡（2021）'!AI13</f>
        <v>53088</v>
      </c>
      <c r="O7" s="14">
        <f>ROUND(SUM(C7:E7,G7:I7,K7:L7,N7)/9,2)</f>
        <v>57457.78</v>
      </c>
      <c r="P7" s="222"/>
    </row>
    <row r="8" s="192" customFormat="1" ht="28" customHeight="1" spans="1:16">
      <c r="A8" s="209" t="s">
        <v>22</v>
      </c>
      <c r="B8" s="209" t="s">
        <v>23</v>
      </c>
      <c r="C8" s="14">
        <v>0.5</v>
      </c>
      <c r="D8" s="105">
        <v>0.48</v>
      </c>
      <c r="E8" s="105">
        <v>0.52</v>
      </c>
      <c r="F8" s="14">
        <f t="shared" si="0"/>
        <v>0.5</v>
      </c>
      <c r="G8" s="14">
        <v>0.55</v>
      </c>
      <c r="H8" s="105">
        <v>0.48</v>
      </c>
      <c r="I8" s="105">
        <v>0.51</v>
      </c>
      <c r="J8" s="14">
        <f t="shared" ref="J8:J45" si="2">ROUND(SUM(G8:I8)/3,2)</f>
        <v>0.51</v>
      </c>
      <c r="K8" s="14">
        <v>0.58</v>
      </c>
      <c r="L8" s="78">
        <v>0.5</v>
      </c>
      <c r="M8" s="14">
        <f t="shared" si="1"/>
        <v>0.54</v>
      </c>
      <c r="N8" s="14">
        <v>0.6</v>
      </c>
      <c r="O8" s="14">
        <f t="shared" ref="O8:O45" si="3">ROUND(SUM(C8:E8,G8:I8,K8:L8,N8)/9,2)</f>
        <v>0.52</v>
      </c>
      <c r="P8" s="222"/>
    </row>
    <row r="9" ht="28" customHeight="1" spans="1:16">
      <c r="A9" s="206" t="s">
        <v>24</v>
      </c>
      <c r="B9" s="205" t="s">
        <v>25</v>
      </c>
      <c r="C9" s="19">
        <f>'巴运（2021）'!AG20</f>
        <v>136</v>
      </c>
      <c r="D9" s="181">
        <f>'巴运 (2020)'!AG19</f>
        <v>133.54</v>
      </c>
      <c r="E9" s="181">
        <f>'巴运 (2019)'!AG13</f>
        <v>96</v>
      </c>
      <c r="F9" s="19">
        <f t="shared" si="0"/>
        <v>121.85</v>
      </c>
      <c r="G9" s="19">
        <f>'利民（2021）'!AK46</f>
        <v>93.65</v>
      </c>
      <c r="H9" s="181">
        <f>'利民（2021）'!AK46</f>
        <v>93.65</v>
      </c>
      <c r="I9" s="181">
        <f>'利民 (2019)'!AK22</f>
        <v>91</v>
      </c>
      <c r="J9" s="19">
        <f t="shared" si="2"/>
        <v>92.77</v>
      </c>
      <c r="K9" s="19">
        <f>'万顺（2021）'!AF15</f>
        <v>93.33</v>
      </c>
      <c r="L9" s="128">
        <f>'万顺 (2020)'!AF14</f>
        <v>112</v>
      </c>
      <c r="M9" s="19">
        <f t="shared" si="1"/>
        <v>102.67</v>
      </c>
      <c r="N9" s="19">
        <f>'一凡（2021）'!AG13</f>
        <v>130</v>
      </c>
      <c r="O9" s="19">
        <f t="shared" si="3"/>
        <v>108.8</v>
      </c>
      <c r="P9" s="221"/>
    </row>
    <row r="10" ht="28" customHeight="1" spans="1:16">
      <c r="A10" s="206" t="s">
        <v>26</v>
      </c>
      <c r="B10" s="205" t="s">
        <v>27</v>
      </c>
      <c r="C10" s="19">
        <f>C6/C9/12</f>
        <v>40.5882352941176</v>
      </c>
      <c r="D10" s="181">
        <f>D6/D9/12</f>
        <v>38.5882631920523</v>
      </c>
      <c r="E10" s="181">
        <f>E6/E9/12</f>
        <v>45.4166666666667</v>
      </c>
      <c r="F10" s="19">
        <f t="shared" si="0"/>
        <v>41.53</v>
      </c>
      <c r="G10" s="19">
        <f>G6/G9/12</f>
        <v>50.0010678056594</v>
      </c>
      <c r="H10" s="181">
        <f>H6/H9/12</f>
        <v>50.0010678056594</v>
      </c>
      <c r="I10" s="181">
        <f>I6/I9/12</f>
        <v>51.1153846153846</v>
      </c>
      <c r="J10" s="19">
        <f t="shared" si="2"/>
        <v>50.37</v>
      </c>
      <c r="K10" s="19">
        <f>K6/K9/12</f>
        <v>45.868307796707</v>
      </c>
      <c r="L10" s="128">
        <f>L6/L9/12</f>
        <v>47.6666666666667</v>
      </c>
      <c r="M10" s="19">
        <f t="shared" si="1"/>
        <v>46.77</v>
      </c>
      <c r="N10" s="19">
        <f>N6/N9/12</f>
        <v>34.0307692307692</v>
      </c>
      <c r="O10" s="19">
        <f t="shared" si="3"/>
        <v>44.81</v>
      </c>
      <c r="P10" s="214" t="s">
        <v>28</v>
      </c>
    </row>
    <row r="11" ht="28" customHeight="1" spans="1:16">
      <c r="A11" s="206" t="s">
        <v>29</v>
      </c>
      <c r="B11" s="205" t="s">
        <v>30</v>
      </c>
      <c r="C11" s="19">
        <v>0.5</v>
      </c>
      <c r="D11" s="181">
        <v>0.48</v>
      </c>
      <c r="E11" s="181">
        <v>0.52</v>
      </c>
      <c r="F11" s="19">
        <f t="shared" si="0"/>
        <v>0.5</v>
      </c>
      <c r="G11" s="19">
        <v>0.55</v>
      </c>
      <c r="H11" s="181">
        <v>0.48</v>
      </c>
      <c r="I11" s="181">
        <v>0.54</v>
      </c>
      <c r="J11" s="19">
        <f t="shared" si="2"/>
        <v>0.52</v>
      </c>
      <c r="K11" s="19">
        <v>0.58</v>
      </c>
      <c r="L11" s="128">
        <v>0.5</v>
      </c>
      <c r="M11" s="19">
        <f t="shared" si="1"/>
        <v>0.54</v>
      </c>
      <c r="N11" s="223">
        <v>0.6</v>
      </c>
      <c r="O11" s="19">
        <f t="shared" si="3"/>
        <v>0.53</v>
      </c>
      <c r="P11" s="224"/>
    </row>
    <row r="12" ht="28" customHeight="1" spans="1:16">
      <c r="A12" s="206" t="s">
        <v>31</v>
      </c>
      <c r="B12" s="205" t="s">
        <v>32</v>
      </c>
      <c r="C12" s="19">
        <f>'巴运（2021）'!AL20</f>
        <v>131784</v>
      </c>
      <c r="D12" s="181">
        <f>'巴运 (2020)'!AL19</f>
        <v>115521.54</v>
      </c>
      <c r="E12" s="181">
        <f>'巴运 (2019)'!AL13</f>
        <v>106679.04</v>
      </c>
      <c r="F12" s="19">
        <f t="shared" si="0"/>
        <v>117994.86</v>
      </c>
      <c r="G12" s="19">
        <f>'利民（2021）'!AP46</f>
        <v>139918.68</v>
      </c>
      <c r="H12" s="181">
        <f>'利民（2021）'!AP46</f>
        <v>139918.68</v>
      </c>
      <c r="I12" s="181">
        <f>'利民 (2019)'!AP22</f>
        <v>131347.44</v>
      </c>
      <c r="J12" s="19">
        <f t="shared" si="2"/>
        <v>137061.6</v>
      </c>
      <c r="K12" s="19">
        <f>'万顺（2021）'!AK15</f>
        <v>134337.28</v>
      </c>
      <c r="L12" s="128">
        <f>'万顺 (2020)'!AK14</f>
        <v>151767</v>
      </c>
      <c r="M12" s="19">
        <f t="shared" si="1"/>
        <v>143052.14</v>
      </c>
      <c r="N12" s="19">
        <f>'一凡（2021）'!AL13</f>
        <v>125294.4</v>
      </c>
      <c r="O12" s="19">
        <f t="shared" si="3"/>
        <v>130729.78</v>
      </c>
      <c r="P12" s="224"/>
    </row>
    <row r="13" ht="28" customHeight="1" spans="1:16">
      <c r="A13" s="206" t="s">
        <v>33</v>
      </c>
      <c r="B13" s="205" t="s">
        <v>34</v>
      </c>
      <c r="C13" s="19">
        <f>SUM(C14:C16)</f>
        <v>9175.43</v>
      </c>
      <c r="D13" s="181">
        <f>SUM(D14:D16)</f>
        <v>0</v>
      </c>
      <c r="E13" s="181">
        <f>SUM(E14:E16)</f>
        <v>0</v>
      </c>
      <c r="F13" s="19">
        <f t="shared" si="0"/>
        <v>3058.48</v>
      </c>
      <c r="G13" s="19">
        <f>SUM(G14:G16)</f>
        <v>8845</v>
      </c>
      <c r="H13" s="181">
        <f>SUM(H14:H16)</f>
        <v>4975.31</v>
      </c>
      <c r="I13" s="181">
        <f>SUM(I14:I16)</f>
        <v>0</v>
      </c>
      <c r="J13" s="19">
        <f t="shared" si="2"/>
        <v>4606.77</v>
      </c>
      <c r="K13" s="19">
        <f>SUM(K14:K16)</f>
        <v>0</v>
      </c>
      <c r="L13" s="128">
        <f>SUM(L14:L16)</f>
        <v>0</v>
      </c>
      <c r="M13" s="19">
        <f t="shared" si="1"/>
        <v>0</v>
      </c>
      <c r="N13" s="19">
        <f>SUM(N14:N16)</f>
        <v>1634.66428571429</v>
      </c>
      <c r="O13" s="19">
        <f t="shared" si="3"/>
        <v>2736.71</v>
      </c>
      <c r="P13" s="214" t="s">
        <v>35</v>
      </c>
    </row>
    <row r="14" ht="28" customHeight="1" spans="1:16">
      <c r="A14" s="207" t="s">
        <v>36</v>
      </c>
      <c r="B14" s="208" t="s">
        <v>37</v>
      </c>
      <c r="C14" s="14">
        <f>'巴运（2021）'!AK20</f>
        <v>7395.43</v>
      </c>
      <c r="D14" s="105">
        <f>'巴运 (2020)'!AK19</f>
        <v>0</v>
      </c>
      <c r="E14" s="105">
        <f>'巴运 (2019)'!AK13</f>
        <v>0</v>
      </c>
      <c r="F14" s="14">
        <f t="shared" si="0"/>
        <v>2465.14</v>
      </c>
      <c r="G14" s="14">
        <f>'利民（2021）'!AO46</f>
        <v>7200</v>
      </c>
      <c r="H14" s="105">
        <f>'利民 (2020)'!AO38</f>
        <v>4050</v>
      </c>
      <c r="I14" s="105">
        <f>'利民 (2019)'!AO22</f>
        <v>0</v>
      </c>
      <c r="J14" s="14">
        <f t="shared" si="2"/>
        <v>3750</v>
      </c>
      <c r="K14" s="14">
        <f>'万顺（2021）'!AJ15</f>
        <v>0</v>
      </c>
      <c r="L14" s="78">
        <f>'万顺 (2020)'!AJ14</f>
        <v>0</v>
      </c>
      <c r="M14" s="19">
        <f t="shared" si="1"/>
        <v>0</v>
      </c>
      <c r="N14" s="14"/>
      <c r="O14" s="14">
        <f t="shared" si="3"/>
        <v>2071.71</v>
      </c>
      <c r="P14" s="209" t="s">
        <v>38</v>
      </c>
    </row>
    <row r="15" ht="28" customHeight="1" spans="1:16">
      <c r="A15" s="207" t="s">
        <v>39</v>
      </c>
      <c r="B15" s="208" t="s">
        <v>40</v>
      </c>
      <c r="C15" s="14">
        <f>'巴运（2021）'!AJ20</f>
        <v>1780</v>
      </c>
      <c r="D15" s="105">
        <f>'巴运 (2020)'!AJ19</f>
        <v>0</v>
      </c>
      <c r="E15" s="105">
        <f>'巴运 (2019)'!AJ13</f>
        <v>0</v>
      </c>
      <c r="F15" s="14">
        <f t="shared" si="0"/>
        <v>593.33</v>
      </c>
      <c r="G15" s="14">
        <f>'利民（2021）'!AN46</f>
        <v>1645</v>
      </c>
      <c r="H15" s="105">
        <f>'利民 (2020)'!AN38</f>
        <v>925.31</v>
      </c>
      <c r="I15" s="105">
        <f>'利民 (2019)'!AN22</f>
        <v>0</v>
      </c>
      <c r="J15" s="14">
        <f t="shared" si="2"/>
        <v>856.77</v>
      </c>
      <c r="K15" s="14">
        <f>'万顺（2021）'!AI15</f>
        <v>0</v>
      </c>
      <c r="L15" s="78">
        <f>'万顺 (2020)'!AI14</f>
        <v>0</v>
      </c>
      <c r="M15" s="19">
        <f t="shared" si="1"/>
        <v>0</v>
      </c>
      <c r="N15" s="14">
        <f>'一凡（2021）'!AJ13</f>
        <v>1634.66428571429</v>
      </c>
      <c r="O15" s="14">
        <f t="shared" si="3"/>
        <v>665</v>
      </c>
      <c r="P15" s="209" t="s">
        <v>38</v>
      </c>
    </row>
    <row r="16" ht="28" customHeight="1" spans="1:16">
      <c r="A16" s="207" t="s">
        <v>41</v>
      </c>
      <c r="B16" s="208" t="s">
        <v>42</v>
      </c>
      <c r="C16" s="14"/>
      <c r="D16" s="105"/>
      <c r="E16" s="105"/>
      <c r="F16" s="14">
        <f t="shared" si="0"/>
        <v>0</v>
      </c>
      <c r="G16" s="14"/>
      <c r="H16" s="105"/>
      <c r="I16" s="105"/>
      <c r="J16" s="14">
        <f t="shared" si="2"/>
        <v>0</v>
      </c>
      <c r="K16" s="14"/>
      <c r="L16" s="78"/>
      <c r="M16" s="19">
        <f t="shared" si="1"/>
        <v>0</v>
      </c>
      <c r="N16" s="14"/>
      <c r="O16" s="19">
        <f t="shared" si="3"/>
        <v>0</v>
      </c>
      <c r="P16" s="225"/>
    </row>
    <row r="17" ht="31" customHeight="1" spans="1:16">
      <c r="A17" s="206" t="s">
        <v>43</v>
      </c>
      <c r="B17" s="210" t="s">
        <v>44</v>
      </c>
      <c r="C17" s="19">
        <f>C18+C21+C23+C24+C25+C26+C32</f>
        <v>189584.2</v>
      </c>
      <c r="D17" s="181">
        <f>D18+D21+D23+D24+D25+D26+D32</f>
        <v>152197.4</v>
      </c>
      <c r="E17" s="181">
        <f>E18+E21+E23+E24+E25+E26+E32</f>
        <v>152800.94</v>
      </c>
      <c r="F17" s="19">
        <f t="shared" si="0"/>
        <v>164860.85</v>
      </c>
      <c r="G17" s="19">
        <f>G18+G21+G23+G24+G25+G26+G32</f>
        <v>177038.21</v>
      </c>
      <c r="H17" s="181">
        <f>H18+H21+H23+H24+H25+H26+H32</f>
        <v>144128.05</v>
      </c>
      <c r="I17" s="181">
        <f>I18+I21+I23+I24+I25+I26+I32</f>
        <v>152579.73</v>
      </c>
      <c r="J17" s="19">
        <f t="shared" si="2"/>
        <v>157915.33</v>
      </c>
      <c r="K17" s="19">
        <f>K18+K21+K23+K24+K25+K26+K32</f>
        <v>165046.03</v>
      </c>
      <c r="L17" s="128">
        <f>L18+L21+L23+L24+L25+L26+L32</f>
        <v>170852.65</v>
      </c>
      <c r="M17" s="19">
        <f t="shared" si="1"/>
        <v>167949.34</v>
      </c>
      <c r="N17" s="19">
        <f>N18+N21+N23+N24+N25+N26+N32</f>
        <v>141182.17</v>
      </c>
      <c r="O17" s="19">
        <f t="shared" si="3"/>
        <v>160601.04</v>
      </c>
      <c r="P17" s="224"/>
    </row>
    <row r="18" ht="28" customHeight="1" spans="1:16">
      <c r="A18" s="207" t="s">
        <v>45</v>
      </c>
      <c r="B18" s="208" t="s">
        <v>46</v>
      </c>
      <c r="C18" s="14">
        <f>C19+C20</f>
        <v>62198.4</v>
      </c>
      <c r="D18" s="105">
        <f>D19+D20</f>
        <v>51472.8</v>
      </c>
      <c r="E18" s="105">
        <f>E19+E20</f>
        <v>59731.2</v>
      </c>
      <c r="F18" s="14">
        <f t="shared" si="0"/>
        <v>57800.8</v>
      </c>
      <c r="G18" s="14">
        <f>G19+G20</f>
        <v>62198.4</v>
      </c>
      <c r="H18" s="105">
        <f>H19+H20</f>
        <v>56872.8</v>
      </c>
      <c r="I18" s="105">
        <f>I19+I20</f>
        <v>59731.2</v>
      </c>
      <c r="J18" s="14">
        <f t="shared" si="2"/>
        <v>59600.8</v>
      </c>
      <c r="K18" s="14">
        <f>K19+K20</f>
        <v>62198.4</v>
      </c>
      <c r="L18" s="78">
        <f>L19+L20</f>
        <v>56872.8</v>
      </c>
      <c r="M18" s="14">
        <f t="shared" si="1"/>
        <v>59535.6</v>
      </c>
      <c r="N18" s="14">
        <f>N19+N20</f>
        <v>60472.8</v>
      </c>
      <c r="O18" s="14">
        <f t="shared" si="3"/>
        <v>59083.2</v>
      </c>
      <c r="P18" s="209" t="s">
        <v>47</v>
      </c>
    </row>
    <row r="19" ht="28" customHeight="1" spans="1:16">
      <c r="A19" s="207" t="s">
        <v>48</v>
      </c>
      <c r="B19" s="208" t="s">
        <v>49</v>
      </c>
      <c r="C19" s="14">
        <f>'巴运（2021）'!Q20</f>
        <v>54000</v>
      </c>
      <c r="D19" s="105">
        <f>'巴运 (2020)'!Q19</f>
        <v>45000</v>
      </c>
      <c r="E19" s="105">
        <f>'巴运 (2019)'!Q13</f>
        <v>54000</v>
      </c>
      <c r="F19" s="14">
        <f t="shared" si="0"/>
        <v>51000</v>
      </c>
      <c r="G19" s="14">
        <f>'利民（2021）'!S46</f>
        <v>54000</v>
      </c>
      <c r="H19" s="105">
        <f>'利民 (2020)'!S38</f>
        <v>50400</v>
      </c>
      <c r="I19" s="105">
        <f>'利民 (2019)'!S22</f>
        <v>54000</v>
      </c>
      <c r="J19" s="14">
        <f t="shared" si="2"/>
        <v>52800</v>
      </c>
      <c r="K19" s="14">
        <f>'万顺（2021）'!N15</f>
        <v>54000</v>
      </c>
      <c r="L19" s="78">
        <f>'万顺 (2020)'!N14</f>
        <v>50400</v>
      </c>
      <c r="M19" s="14">
        <f t="shared" si="1"/>
        <v>52200</v>
      </c>
      <c r="N19" s="14">
        <f>'一凡（2021）'!M13</f>
        <v>54000</v>
      </c>
      <c r="O19" s="14">
        <f t="shared" si="3"/>
        <v>52200</v>
      </c>
      <c r="P19" s="222"/>
    </row>
    <row r="20" ht="32" customHeight="1" spans="1:16">
      <c r="A20" s="207" t="s">
        <v>50</v>
      </c>
      <c r="B20" s="208" t="s">
        <v>51</v>
      </c>
      <c r="C20" s="14">
        <f>'巴运（2021）'!R20</f>
        <v>8198.4</v>
      </c>
      <c r="D20" s="105">
        <f>'巴运 (2020)'!R19</f>
        <v>6472.8</v>
      </c>
      <c r="E20" s="105">
        <f>'巴运 (2019)'!R13</f>
        <v>5731.2</v>
      </c>
      <c r="F20" s="14">
        <f t="shared" si="0"/>
        <v>6800.8</v>
      </c>
      <c r="G20" s="14">
        <f>'利民（2021）'!T46</f>
        <v>8198.4</v>
      </c>
      <c r="H20" s="105">
        <f>'利民 (2020)'!T38</f>
        <v>6472.8</v>
      </c>
      <c r="I20" s="105">
        <f>'利民 (2019)'!T22</f>
        <v>5731.2</v>
      </c>
      <c r="J20" s="14">
        <f t="shared" si="2"/>
        <v>6800.8</v>
      </c>
      <c r="K20" s="14">
        <f>'万顺（2021）'!O15</f>
        <v>8198.4</v>
      </c>
      <c r="L20" s="78">
        <f>'万顺 (2020)'!O14</f>
        <v>6472.8</v>
      </c>
      <c r="M20" s="14">
        <f t="shared" si="1"/>
        <v>7335.6</v>
      </c>
      <c r="N20" s="14">
        <f>'一凡（2021）'!N13</f>
        <v>6472.8</v>
      </c>
      <c r="O20" s="14">
        <f t="shared" si="3"/>
        <v>6883.2</v>
      </c>
      <c r="P20" s="222" t="s">
        <v>52</v>
      </c>
    </row>
    <row r="21" ht="32" customHeight="1" spans="1:16">
      <c r="A21" s="208" t="s">
        <v>53</v>
      </c>
      <c r="B21" s="208" t="s">
        <v>54</v>
      </c>
      <c r="C21" s="14">
        <f>'巴运（2021）'!O20</f>
        <v>18529.4</v>
      </c>
      <c r="D21" s="105">
        <f>'巴运 (2020)'!O19</f>
        <v>18678.45</v>
      </c>
      <c r="E21" s="105">
        <f>'巴运 (2019)'!O13</f>
        <v>17551.61</v>
      </c>
      <c r="F21" s="14">
        <f t="shared" si="0"/>
        <v>18253.15</v>
      </c>
      <c r="G21" s="14">
        <f>'利民（2021）'!Q46</f>
        <v>14372.21</v>
      </c>
      <c r="H21" s="105">
        <f>'利民 (2020)'!Q38</f>
        <v>14493.72</v>
      </c>
      <c r="I21" s="105">
        <f>'利民 (2019)'!Q22</f>
        <v>13058.31</v>
      </c>
      <c r="J21" s="14">
        <f t="shared" si="2"/>
        <v>13974.75</v>
      </c>
      <c r="K21" s="14">
        <f>'万顺（2021）'!L15</f>
        <v>16639.55</v>
      </c>
      <c r="L21" s="78">
        <f>'万顺 (2020)'!L14</f>
        <v>15872.49</v>
      </c>
      <c r="M21" s="14">
        <f t="shared" si="1"/>
        <v>16256.02</v>
      </c>
      <c r="N21" s="14">
        <f>'一凡（2021）'!K13</f>
        <v>7303.82</v>
      </c>
      <c r="O21" s="14">
        <f t="shared" si="3"/>
        <v>15166.62</v>
      </c>
      <c r="P21" s="222" t="s">
        <v>55</v>
      </c>
    </row>
    <row r="22" ht="27" customHeight="1" spans="1:16">
      <c r="A22" s="208" t="s">
        <v>56</v>
      </c>
      <c r="B22" s="208" t="s">
        <v>57</v>
      </c>
      <c r="C22" s="14">
        <v>7</v>
      </c>
      <c r="D22" s="105">
        <v>7</v>
      </c>
      <c r="E22" s="105">
        <v>7</v>
      </c>
      <c r="F22" s="14">
        <f t="shared" si="0"/>
        <v>7</v>
      </c>
      <c r="G22" s="14">
        <f>'利民（2021）'!N46</f>
        <v>7</v>
      </c>
      <c r="H22" s="105">
        <v>7</v>
      </c>
      <c r="I22" s="105">
        <v>7</v>
      </c>
      <c r="J22" s="14">
        <f t="shared" si="2"/>
        <v>7</v>
      </c>
      <c r="K22" s="14">
        <f>'万顺（2021）'!I15</f>
        <v>7</v>
      </c>
      <c r="L22" s="78">
        <v>7</v>
      </c>
      <c r="M22" s="14">
        <f t="shared" si="1"/>
        <v>7</v>
      </c>
      <c r="N22" s="14">
        <f>'一凡（2021）'!H13</f>
        <v>7</v>
      </c>
      <c r="O22" s="14">
        <f t="shared" si="3"/>
        <v>7</v>
      </c>
      <c r="P22" s="222" t="s">
        <v>58</v>
      </c>
    </row>
    <row r="23" ht="27" customHeight="1" spans="1:16">
      <c r="A23" s="207" t="s">
        <v>59</v>
      </c>
      <c r="B23" s="208" t="s">
        <v>60</v>
      </c>
      <c r="C23" s="14">
        <f>'巴运（2021）'!S20</f>
        <v>11254.85</v>
      </c>
      <c r="D23" s="105">
        <f>'巴运 (2020)'!S19</f>
        <v>11154.07</v>
      </c>
      <c r="E23" s="105">
        <f>'巴运 (2019)'!S13</f>
        <v>10774.42</v>
      </c>
      <c r="F23" s="14">
        <f t="shared" si="0"/>
        <v>11061.11</v>
      </c>
      <c r="G23" s="14">
        <f>'利民（2021）'!U46</f>
        <v>15325.66</v>
      </c>
      <c r="H23" s="105">
        <f>'利民 (2020)'!U38</f>
        <v>10748.93</v>
      </c>
      <c r="I23" s="105">
        <f>'利民 (2019)'!U22</f>
        <v>10882.28</v>
      </c>
      <c r="J23" s="14">
        <f t="shared" si="2"/>
        <v>12318.96</v>
      </c>
      <c r="K23" s="14">
        <f>'万顺（2021）'!P15</f>
        <v>10740.75</v>
      </c>
      <c r="L23" s="78">
        <f>'万顺 (2020)'!P14</f>
        <v>9952.25</v>
      </c>
      <c r="M23" s="14">
        <f t="shared" si="1"/>
        <v>10346.5</v>
      </c>
      <c r="N23" s="14">
        <f>'一凡（2021）'!O13+'一凡（2021）'!P13+'一凡（2021）'!Q13</f>
        <v>9252.4</v>
      </c>
      <c r="O23" s="14">
        <f t="shared" si="3"/>
        <v>11120.62</v>
      </c>
      <c r="P23" s="222" t="s">
        <v>38</v>
      </c>
    </row>
    <row r="24" ht="36.95" customHeight="1" spans="1:16">
      <c r="A24" s="207" t="s">
        <v>61</v>
      </c>
      <c r="B24" s="208" t="s">
        <v>62</v>
      </c>
      <c r="C24" s="14">
        <f>'巴运（2021）'!T20</f>
        <v>80853.12</v>
      </c>
      <c r="D24" s="105">
        <f>'巴运 (2020)'!T19</f>
        <v>54139.46</v>
      </c>
      <c r="E24" s="105">
        <f>'巴运 (2019)'!T13</f>
        <v>48067.43</v>
      </c>
      <c r="F24" s="14">
        <f t="shared" si="0"/>
        <v>61020</v>
      </c>
      <c r="G24" s="14">
        <f>'利民（2021）'!V46</f>
        <v>63464.94</v>
      </c>
      <c r="H24" s="105">
        <f>'利民 (2020)'!V38</f>
        <v>40291.72</v>
      </c>
      <c r="I24" s="105">
        <f>'利民 (2019)'!V22</f>
        <v>47007.69</v>
      </c>
      <c r="J24" s="14">
        <f t="shared" si="2"/>
        <v>50254.78</v>
      </c>
      <c r="K24" s="14">
        <f>'万顺（2021）'!Q15</f>
        <v>55858.88</v>
      </c>
      <c r="L24" s="78">
        <f>'万顺 (2020)'!Q14</f>
        <v>68553.61</v>
      </c>
      <c r="M24" s="14">
        <f t="shared" si="1"/>
        <v>62206.25</v>
      </c>
      <c r="N24" s="14">
        <f>'一凡（2021）'!R13</f>
        <v>50149.44</v>
      </c>
      <c r="O24" s="14">
        <f t="shared" si="3"/>
        <v>56487.37</v>
      </c>
      <c r="P24" s="222" t="s">
        <v>63</v>
      </c>
    </row>
    <row r="25" ht="34" customHeight="1" spans="1:16">
      <c r="A25" s="207" t="s">
        <v>64</v>
      </c>
      <c r="B25" s="208" t="s">
        <v>65</v>
      </c>
      <c r="C25" s="14">
        <f>'巴运（2021）'!Y20+'巴运（2021）'!X20</f>
        <v>12047.14</v>
      </c>
      <c r="D25" s="105">
        <f>'巴运 (2020)'!X19+'巴运 (2020)'!Y19</f>
        <v>12050.77</v>
      </c>
      <c r="E25" s="105">
        <f>'巴运 (2019)'!X13+'巴运 (2019)'!Y13</f>
        <v>11962.85</v>
      </c>
      <c r="F25" s="14">
        <f t="shared" si="0"/>
        <v>12020.25</v>
      </c>
      <c r="G25" s="14">
        <f>'利民（2021）'!AA46+'利民（2021）'!Z46</f>
        <v>12051</v>
      </c>
      <c r="H25" s="105">
        <f>'利民 (2020)'!AA38+'利民 (2020)'!Z38</f>
        <v>12084.38</v>
      </c>
      <c r="I25" s="105">
        <f>'利民 (2019)'!AA22+'利民 (2019)'!Z22</f>
        <v>12181.25</v>
      </c>
      <c r="J25" s="14">
        <f t="shared" si="2"/>
        <v>12105.54</v>
      </c>
      <c r="K25" s="14">
        <f>'万顺（2021）'!V15+'万顺（2021）'!U15</f>
        <v>10528.89</v>
      </c>
      <c r="L25" s="78">
        <f>'万顺 (2020)'!V14+'万顺 (2020)'!U14</f>
        <v>10517.5</v>
      </c>
      <c r="M25" s="14">
        <f t="shared" si="1"/>
        <v>10523.2</v>
      </c>
      <c r="N25" s="14">
        <f>'一凡（2021）'!T13</f>
        <v>5000</v>
      </c>
      <c r="O25" s="14">
        <f t="shared" si="3"/>
        <v>10935.98</v>
      </c>
      <c r="P25" s="222" t="s">
        <v>66</v>
      </c>
    </row>
    <row r="26" ht="30" customHeight="1" spans="1:16">
      <c r="A26" s="207" t="s">
        <v>67</v>
      </c>
      <c r="B26" s="208" t="s">
        <v>68</v>
      </c>
      <c r="C26" s="14">
        <f>SUM(C27:C31)</f>
        <v>4701.29</v>
      </c>
      <c r="D26" s="105">
        <f>SUM(D27:D31)</f>
        <v>4701.85</v>
      </c>
      <c r="E26" s="105">
        <f>SUM(E27:E31)</f>
        <v>4713.43</v>
      </c>
      <c r="F26" s="14">
        <f t="shared" si="0"/>
        <v>4705.52</v>
      </c>
      <c r="G26" s="14">
        <f>SUM(G27:G31)</f>
        <v>8426</v>
      </c>
      <c r="H26" s="105">
        <f>SUM(H27:H31)</f>
        <v>8436.5</v>
      </c>
      <c r="I26" s="105">
        <f>SUM(I27:I31)</f>
        <v>8519</v>
      </c>
      <c r="J26" s="14">
        <f t="shared" si="2"/>
        <v>8460.5</v>
      </c>
      <c r="K26" s="14">
        <f>SUM(K27:K31)</f>
        <v>7879.56</v>
      </c>
      <c r="L26" s="78">
        <f>SUM(L27:L31)</f>
        <v>7884</v>
      </c>
      <c r="M26" s="14">
        <f t="shared" si="1"/>
        <v>7881.78</v>
      </c>
      <c r="N26" s="14">
        <f>SUM(N27:N31)</f>
        <v>7803.71</v>
      </c>
      <c r="O26" s="14">
        <f t="shared" si="3"/>
        <v>7007.26</v>
      </c>
      <c r="P26" s="222" t="s">
        <v>38</v>
      </c>
    </row>
    <row r="27" ht="30" customHeight="1" spans="1:16">
      <c r="A27" s="207" t="s">
        <v>69</v>
      </c>
      <c r="B27" s="208" t="s">
        <v>70</v>
      </c>
      <c r="C27" s="14"/>
      <c r="D27" s="105"/>
      <c r="E27" s="105"/>
      <c r="F27" s="14">
        <f t="shared" si="0"/>
        <v>0</v>
      </c>
      <c r="G27" s="14"/>
      <c r="H27" s="105"/>
      <c r="I27" s="105"/>
      <c r="J27" s="14">
        <f t="shared" si="2"/>
        <v>0</v>
      </c>
      <c r="K27" s="14"/>
      <c r="L27" s="78"/>
      <c r="M27" s="14">
        <f t="shared" si="1"/>
        <v>0</v>
      </c>
      <c r="N27" s="14"/>
      <c r="O27" s="14">
        <f t="shared" si="3"/>
        <v>0</v>
      </c>
      <c r="P27" s="226"/>
    </row>
    <row r="28" ht="30" customHeight="1" spans="1:16">
      <c r="A28" s="207" t="s">
        <v>71</v>
      </c>
      <c r="B28" s="208" t="s">
        <v>72</v>
      </c>
      <c r="C28" s="14"/>
      <c r="D28" s="105"/>
      <c r="E28" s="105"/>
      <c r="F28" s="14">
        <f t="shared" si="0"/>
        <v>0</v>
      </c>
      <c r="G28" s="14"/>
      <c r="H28" s="105"/>
      <c r="I28" s="105"/>
      <c r="J28" s="14">
        <f t="shared" si="2"/>
        <v>0</v>
      </c>
      <c r="K28" s="14"/>
      <c r="L28" s="78"/>
      <c r="M28" s="14">
        <f t="shared" si="1"/>
        <v>0</v>
      </c>
      <c r="N28" s="14"/>
      <c r="O28" s="14">
        <f t="shared" si="3"/>
        <v>0</v>
      </c>
      <c r="P28" s="226"/>
    </row>
    <row r="29" ht="30" customHeight="1" spans="1:16">
      <c r="A29" s="207" t="s">
        <v>73</v>
      </c>
      <c r="B29" s="208" t="s">
        <v>74</v>
      </c>
      <c r="C29" s="14">
        <f>'巴运（2021）'!U20</f>
        <v>360</v>
      </c>
      <c r="D29" s="105">
        <f>'巴运 (2020)'!U19</f>
        <v>360</v>
      </c>
      <c r="E29" s="105">
        <f>'巴运 (2019)'!U13</f>
        <v>360</v>
      </c>
      <c r="F29" s="14">
        <f t="shared" si="0"/>
        <v>360</v>
      </c>
      <c r="G29" s="14">
        <f>'万顺（2021）'!R15</f>
        <v>360</v>
      </c>
      <c r="H29" s="105">
        <f>'利民 (2020)'!W38</f>
        <v>360</v>
      </c>
      <c r="I29" s="105">
        <f>'利民 (2019)'!W22</f>
        <v>360</v>
      </c>
      <c r="J29" s="14">
        <f t="shared" si="2"/>
        <v>360</v>
      </c>
      <c r="K29" s="14">
        <f>'万顺（2021）'!R15</f>
        <v>360</v>
      </c>
      <c r="L29" s="78">
        <f>'万顺 (2020)'!R14</f>
        <v>360</v>
      </c>
      <c r="M29" s="14">
        <f t="shared" si="1"/>
        <v>360</v>
      </c>
      <c r="N29" s="14">
        <f>'一凡（2021）'!S13</f>
        <v>360</v>
      </c>
      <c r="O29" s="14">
        <f t="shared" si="3"/>
        <v>360</v>
      </c>
      <c r="P29" s="226"/>
    </row>
    <row r="30" ht="30" customHeight="1" spans="1:16">
      <c r="A30" s="207" t="s">
        <v>75</v>
      </c>
      <c r="B30" s="208" t="s">
        <v>76</v>
      </c>
      <c r="C30" s="14">
        <f>'巴运（2021）'!Z20</f>
        <v>960</v>
      </c>
      <c r="D30" s="105">
        <f>'巴运 (2020)'!Z19</f>
        <v>960</v>
      </c>
      <c r="E30" s="105">
        <f>'巴运 (2019)'!Z13</f>
        <v>960</v>
      </c>
      <c r="F30" s="14">
        <f t="shared" si="0"/>
        <v>960</v>
      </c>
      <c r="G30" s="14">
        <f>'利民（2021）'!AB46</f>
        <v>960</v>
      </c>
      <c r="H30" s="105">
        <f>'利民 (2020)'!AB38</f>
        <v>960</v>
      </c>
      <c r="I30" s="105">
        <f>'利民 (2019)'!AB22</f>
        <v>960</v>
      </c>
      <c r="J30" s="14">
        <f t="shared" si="2"/>
        <v>960</v>
      </c>
      <c r="K30" s="14">
        <f>'万顺（2021）'!W15</f>
        <v>960</v>
      </c>
      <c r="L30" s="78">
        <f>'万顺 (2020)'!W14</f>
        <v>960</v>
      </c>
      <c r="M30" s="14">
        <f t="shared" si="1"/>
        <v>960</v>
      </c>
      <c r="N30" s="14">
        <f>'一凡（2021）'!U13+'一凡（2021）'!V13</f>
        <v>1338.57</v>
      </c>
      <c r="O30" s="14">
        <f t="shared" si="3"/>
        <v>1002.06</v>
      </c>
      <c r="P30" s="226"/>
    </row>
    <row r="31" ht="30" customHeight="1" spans="1:16">
      <c r="A31" s="207" t="s">
        <v>77</v>
      </c>
      <c r="B31" s="208" t="s">
        <v>78</v>
      </c>
      <c r="C31" s="14">
        <f>'巴运（2021）'!V20+'巴运（2021）'!W20+'巴运（2021）'!AA20</f>
        <v>3381.29</v>
      </c>
      <c r="D31" s="105">
        <f>'巴运 (2020)'!V19+'巴运 (2020)'!W19+'巴运 (2020)'!AA19</f>
        <v>3381.85</v>
      </c>
      <c r="E31" s="105">
        <f>'巴运 (2019)'!V13+'巴运 (2019)'!W13+'巴运 (2019)'!AA13</f>
        <v>3393.43</v>
      </c>
      <c r="F31" s="14">
        <f t="shared" si="0"/>
        <v>3385.52</v>
      </c>
      <c r="G31" s="14">
        <f>'利民（2021）'!Y46+'利民（2021）'!X46+'利民（2021）'!AC46+'利民（2021）'!AD46</f>
        <v>7106</v>
      </c>
      <c r="H31" s="105">
        <f>'利民 (2020)'!Y38+'利民 (2020)'!X38+'利民 (2020)'!AC38+'利民 (2020)'!AD38</f>
        <v>7116.5</v>
      </c>
      <c r="I31" s="105">
        <f>'利民 (2019)'!Y22+'利民 (2019)'!X22+'利民 (2019)'!AC22+'利民 (2019)'!AD22</f>
        <v>7199</v>
      </c>
      <c r="J31" s="14">
        <f t="shared" si="2"/>
        <v>7140.5</v>
      </c>
      <c r="K31" s="14">
        <f>'万顺（2021）'!S15+'万顺（2021）'!T15+'万顺（2021）'!X15+'万顺（2021）'!Y15</f>
        <v>6559.56</v>
      </c>
      <c r="L31" s="78">
        <f>'万顺 (2020)'!S14+'万顺 (2020)'!T14+'万顺 (2020)'!X14+'万顺 (2020)'!Y14</f>
        <v>6564</v>
      </c>
      <c r="M31" s="14">
        <f t="shared" si="1"/>
        <v>6561.78</v>
      </c>
      <c r="N31" s="14">
        <f>'一凡（2021）'!Y13+'一凡（2021）'!X13+'一凡（2021）'!W13+'一凡（2021）'!Z13</f>
        <v>6105.14</v>
      </c>
      <c r="O31" s="14">
        <f t="shared" si="3"/>
        <v>5645.2</v>
      </c>
      <c r="P31" s="226"/>
    </row>
    <row r="32" ht="30" customHeight="1" spans="1:16">
      <c r="A32" s="207" t="s">
        <v>79</v>
      </c>
      <c r="B32" s="208" t="s">
        <v>80</v>
      </c>
      <c r="C32" s="14"/>
      <c r="D32" s="105"/>
      <c r="E32" s="105"/>
      <c r="F32" s="14">
        <f t="shared" si="0"/>
        <v>0</v>
      </c>
      <c r="G32" s="14">
        <f>'利民（2021）'!AE46</f>
        <v>1200</v>
      </c>
      <c r="H32" s="105">
        <f>'利民 (2020)'!AE38</f>
        <v>1200</v>
      </c>
      <c r="I32" s="105">
        <f>'利民 (2019)'!AE22</f>
        <v>1200</v>
      </c>
      <c r="J32" s="14">
        <f t="shared" si="2"/>
        <v>1200</v>
      </c>
      <c r="K32" s="14">
        <f>'万顺（2021）'!Z15</f>
        <v>1200</v>
      </c>
      <c r="L32" s="78">
        <f>'万顺 (2020)'!Z14</f>
        <v>1200</v>
      </c>
      <c r="M32" s="14">
        <f t="shared" si="1"/>
        <v>1200</v>
      </c>
      <c r="N32" s="14">
        <f>'一凡（2021）'!AA13</f>
        <v>1200</v>
      </c>
      <c r="O32" s="14">
        <f t="shared" si="3"/>
        <v>800</v>
      </c>
      <c r="P32" s="226"/>
    </row>
    <row r="33" ht="30" customHeight="1" spans="1:16">
      <c r="A33" s="206" t="s">
        <v>81</v>
      </c>
      <c r="B33" s="205" t="s">
        <v>82</v>
      </c>
      <c r="C33" s="19">
        <f>SUM(C34:C38)</f>
        <v>12342.84</v>
      </c>
      <c r="D33" s="181">
        <f>SUM(D34:D38)</f>
        <v>10230.77</v>
      </c>
      <c r="E33" s="181">
        <f>SUM(E34:E38)</f>
        <v>12171.43</v>
      </c>
      <c r="F33" s="19">
        <f t="shared" si="0"/>
        <v>11581.68</v>
      </c>
      <c r="G33" s="19">
        <f>SUM(G34:G38)</f>
        <v>7344</v>
      </c>
      <c r="H33" s="181">
        <f>SUM(H34:H38)</f>
        <v>7245</v>
      </c>
      <c r="I33" s="181">
        <f>SUM(I34:I38)</f>
        <v>7470</v>
      </c>
      <c r="J33" s="19">
        <f t="shared" si="2"/>
        <v>7353</v>
      </c>
      <c r="K33" s="19">
        <f>SUM(K34:K38)</f>
        <v>5573.33</v>
      </c>
      <c r="L33" s="128">
        <f>SUM(L34:L38)</f>
        <v>5520</v>
      </c>
      <c r="M33" s="19">
        <f t="shared" si="1"/>
        <v>5546.67</v>
      </c>
      <c r="N33" s="19">
        <f>SUM(N34:N38)</f>
        <v>5485.71</v>
      </c>
      <c r="O33" s="19">
        <f t="shared" si="3"/>
        <v>8153.68</v>
      </c>
      <c r="P33" s="214" t="s">
        <v>38</v>
      </c>
    </row>
    <row r="34" s="193" customFormat="1" ht="30" customHeight="1" spans="1:16">
      <c r="A34" s="211" t="s">
        <v>83</v>
      </c>
      <c r="B34" s="209" t="s">
        <v>84</v>
      </c>
      <c r="C34" s="105"/>
      <c r="D34" s="105"/>
      <c r="E34" s="105"/>
      <c r="F34" s="19">
        <f t="shared" si="0"/>
        <v>0</v>
      </c>
      <c r="G34" s="105"/>
      <c r="H34" s="105"/>
      <c r="I34" s="105"/>
      <c r="J34" s="14">
        <f t="shared" si="2"/>
        <v>0</v>
      </c>
      <c r="K34" s="105"/>
      <c r="L34" s="78"/>
      <c r="M34" s="19">
        <f t="shared" si="1"/>
        <v>0</v>
      </c>
      <c r="N34" s="105"/>
      <c r="O34" s="19">
        <f t="shared" si="3"/>
        <v>0</v>
      </c>
      <c r="P34" s="209"/>
    </row>
    <row r="35" s="193" customFormat="1" ht="30" customHeight="1" spans="1:16">
      <c r="A35" s="212" t="s">
        <v>85</v>
      </c>
      <c r="B35" s="209" t="s">
        <v>86</v>
      </c>
      <c r="C35" s="105">
        <f>'巴运（2021）'!P20</f>
        <v>12342.84</v>
      </c>
      <c r="D35" s="105">
        <f>'巴运 (2020)'!P19</f>
        <v>10230.77</v>
      </c>
      <c r="E35" s="105">
        <f>'巴运 (2019)'!P13</f>
        <v>12171.43</v>
      </c>
      <c r="F35" s="14">
        <f t="shared" si="0"/>
        <v>11581.68</v>
      </c>
      <c r="G35" s="105">
        <f>'利民（2021）'!R46</f>
        <v>7344</v>
      </c>
      <c r="H35" s="105">
        <f>'利民 (2020)'!R38</f>
        <v>7245</v>
      </c>
      <c r="I35" s="105">
        <f>'利民 (2019)'!R22</f>
        <v>7470</v>
      </c>
      <c r="J35" s="14">
        <f t="shared" si="2"/>
        <v>7353</v>
      </c>
      <c r="K35" s="105">
        <f>'万顺（2021）'!M15</f>
        <v>5573.33</v>
      </c>
      <c r="L35" s="78">
        <f>'万顺 (2020)'!M14</f>
        <v>5520</v>
      </c>
      <c r="M35" s="14">
        <f t="shared" si="1"/>
        <v>5546.67</v>
      </c>
      <c r="N35" s="105">
        <f>'一凡（2021）'!L13</f>
        <v>5485.71</v>
      </c>
      <c r="O35" s="14">
        <f t="shared" si="3"/>
        <v>8153.68</v>
      </c>
      <c r="P35" s="209" t="s">
        <v>38</v>
      </c>
    </row>
    <row r="36" s="193" customFormat="1" ht="30" customHeight="1" spans="1:16">
      <c r="A36" s="211" t="s">
        <v>87</v>
      </c>
      <c r="B36" s="209" t="s">
        <v>88</v>
      </c>
      <c r="C36" s="105"/>
      <c r="D36" s="105"/>
      <c r="E36" s="105"/>
      <c r="F36" s="19">
        <f t="shared" si="0"/>
        <v>0</v>
      </c>
      <c r="G36" s="105"/>
      <c r="H36" s="105"/>
      <c r="I36" s="105"/>
      <c r="J36" s="14">
        <f t="shared" si="2"/>
        <v>0</v>
      </c>
      <c r="K36" s="105"/>
      <c r="L36" s="78"/>
      <c r="M36" s="19">
        <f t="shared" si="1"/>
        <v>0</v>
      </c>
      <c r="N36" s="105"/>
      <c r="O36" s="19">
        <f t="shared" si="3"/>
        <v>0</v>
      </c>
      <c r="P36" s="209"/>
    </row>
    <row r="37" s="193" customFormat="1" ht="30" customHeight="1" spans="1:16">
      <c r="A37" s="211" t="s">
        <v>89</v>
      </c>
      <c r="B37" s="209" t="s">
        <v>90</v>
      </c>
      <c r="C37" s="105"/>
      <c r="D37" s="105"/>
      <c r="E37" s="105"/>
      <c r="F37" s="19">
        <f t="shared" si="0"/>
        <v>0</v>
      </c>
      <c r="G37" s="105"/>
      <c r="H37" s="105"/>
      <c r="I37" s="105"/>
      <c r="J37" s="14">
        <f t="shared" si="2"/>
        <v>0</v>
      </c>
      <c r="K37" s="105"/>
      <c r="L37" s="78"/>
      <c r="M37" s="19">
        <f t="shared" si="1"/>
        <v>0</v>
      </c>
      <c r="N37" s="105"/>
      <c r="O37" s="19">
        <f t="shared" si="3"/>
        <v>0</v>
      </c>
      <c r="P37" s="209"/>
    </row>
    <row r="38" s="193" customFormat="1" ht="30" customHeight="1" spans="1:16">
      <c r="A38" s="211" t="s">
        <v>91</v>
      </c>
      <c r="B38" s="209" t="s">
        <v>92</v>
      </c>
      <c r="C38" s="105"/>
      <c r="D38" s="105"/>
      <c r="E38" s="105"/>
      <c r="F38" s="19">
        <f t="shared" si="0"/>
        <v>0</v>
      </c>
      <c r="G38" s="105"/>
      <c r="H38" s="105"/>
      <c r="I38" s="105"/>
      <c r="J38" s="14">
        <f t="shared" si="2"/>
        <v>0</v>
      </c>
      <c r="K38" s="105"/>
      <c r="L38" s="78"/>
      <c r="M38" s="19">
        <f t="shared" si="1"/>
        <v>0</v>
      </c>
      <c r="N38" s="105"/>
      <c r="O38" s="19">
        <f t="shared" si="3"/>
        <v>0</v>
      </c>
      <c r="P38" s="226"/>
    </row>
    <row r="39" s="193" customFormat="1" ht="30" customHeight="1" spans="1:16">
      <c r="A39" s="213" t="s">
        <v>93</v>
      </c>
      <c r="B39" s="214" t="s">
        <v>94</v>
      </c>
      <c r="C39" s="181"/>
      <c r="D39" s="181"/>
      <c r="E39" s="181"/>
      <c r="F39" s="19">
        <f t="shared" si="0"/>
        <v>0</v>
      </c>
      <c r="G39" s="181"/>
      <c r="H39" s="181"/>
      <c r="I39" s="181"/>
      <c r="J39" s="14">
        <f t="shared" si="2"/>
        <v>0</v>
      </c>
      <c r="K39" s="181"/>
      <c r="L39" s="128"/>
      <c r="M39" s="19">
        <f t="shared" si="1"/>
        <v>0</v>
      </c>
      <c r="N39" s="181"/>
      <c r="O39" s="19">
        <f t="shared" si="3"/>
        <v>0</v>
      </c>
      <c r="P39" s="226"/>
    </row>
    <row r="40" ht="30" customHeight="1" spans="1:16">
      <c r="A40" s="206" t="s">
        <v>95</v>
      </c>
      <c r="B40" s="205" t="s">
        <v>96</v>
      </c>
      <c r="C40" s="19">
        <f>C17+C33+C39</f>
        <v>201927.04</v>
      </c>
      <c r="D40" s="181">
        <f>D17+D33+D39</f>
        <v>162428.17</v>
      </c>
      <c r="E40" s="181">
        <f>E17+E33+E39</f>
        <v>164972.37</v>
      </c>
      <c r="F40" s="19">
        <f t="shared" si="0"/>
        <v>176442.53</v>
      </c>
      <c r="G40" s="19">
        <f>G17+G33+G39</f>
        <v>184382.21</v>
      </c>
      <c r="H40" s="181">
        <f>H17+H33+H39</f>
        <v>151373.05</v>
      </c>
      <c r="I40" s="181">
        <f>I17+I33+I39</f>
        <v>160049.73</v>
      </c>
      <c r="J40" s="19">
        <f t="shared" si="2"/>
        <v>165268.33</v>
      </c>
      <c r="K40" s="19">
        <f>K17+K33+K39</f>
        <v>170619.36</v>
      </c>
      <c r="L40" s="128">
        <f>L17+L33+L39</f>
        <v>176372.65</v>
      </c>
      <c r="M40" s="19">
        <f t="shared" si="1"/>
        <v>173496.01</v>
      </c>
      <c r="N40" s="19">
        <f>N17+N33+N39</f>
        <v>146667.88</v>
      </c>
      <c r="O40" s="19">
        <f t="shared" si="3"/>
        <v>168754.72</v>
      </c>
      <c r="P40" s="214" t="s">
        <v>97</v>
      </c>
    </row>
    <row r="41" ht="30" customHeight="1" spans="1:16">
      <c r="A41" s="206" t="s">
        <v>98</v>
      </c>
      <c r="B41" s="205" t="s">
        <v>99</v>
      </c>
      <c r="C41" s="19">
        <f>C40-C13</f>
        <v>192751.61</v>
      </c>
      <c r="D41" s="181">
        <f>D40-D13</f>
        <v>162428.17</v>
      </c>
      <c r="E41" s="181">
        <f>E40-E13</f>
        <v>164972.37</v>
      </c>
      <c r="F41" s="19">
        <f t="shared" si="0"/>
        <v>173384.05</v>
      </c>
      <c r="G41" s="19">
        <f>G40-G13</f>
        <v>175537.21</v>
      </c>
      <c r="H41" s="181">
        <f>H40-H13</f>
        <v>146397.74</v>
      </c>
      <c r="I41" s="181">
        <f>I40-I13</f>
        <v>160049.73</v>
      </c>
      <c r="J41" s="19">
        <f t="shared" si="2"/>
        <v>160661.56</v>
      </c>
      <c r="K41" s="19">
        <f>K40-K13</f>
        <v>170619.36</v>
      </c>
      <c r="L41" s="128">
        <f>L40-L13</f>
        <v>176372.65</v>
      </c>
      <c r="M41" s="19">
        <f t="shared" si="1"/>
        <v>173496.01</v>
      </c>
      <c r="N41" s="19">
        <f>N40-N13</f>
        <v>145033.215714286</v>
      </c>
      <c r="O41" s="19">
        <f t="shared" si="3"/>
        <v>166018.01</v>
      </c>
      <c r="P41" s="214"/>
    </row>
    <row r="42" s="193" customFormat="1" ht="30" customHeight="1" spans="1:16">
      <c r="A42" s="213" t="s">
        <v>100</v>
      </c>
      <c r="B42" s="214" t="s">
        <v>101</v>
      </c>
      <c r="C42" s="174">
        <f>'巴运（2021）'!AC20</f>
        <v>9096</v>
      </c>
      <c r="D42" s="174">
        <f>'巴运 (2020)'!AC19</f>
        <v>7756</v>
      </c>
      <c r="E42" s="174">
        <f>'巴运 (2019)'!AC13</f>
        <v>6439.68</v>
      </c>
      <c r="F42" s="62">
        <f t="shared" si="0"/>
        <v>7763.89</v>
      </c>
      <c r="G42" s="62">
        <f>'利民（2021）'!AG46</f>
        <v>6519.81</v>
      </c>
      <c r="H42" s="62">
        <f>'利民 (2020)'!AG38</f>
        <v>5617.92</v>
      </c>
      <c r="I42" s="62">
        <f>'利民 (2019)'!AG22</f>
        <v>6147.54</v>
      </c>
      <c r="J42" s="62">
        <f t="shared" si="2"/>
        <v>6095.09</v>
      </c>
      <c r="K42" s="62">
        <f>'万顺（2021）'!AB15</f>
        <v>6799.15</v>
      </c>
      <c r="L42" s="62">
        <f>'万顺 (2020)'!AB14</f>
        <v>6468</v>
      </c>
      <c r="M42" s="62">
        <f t="shared" si="1"/>
        <v>6633.58</v>
      </c>
      <c r="N42" s="174">
        <f>'一凡（2021）'!AC13</f>
        <v>7387.2</v>
      </c>
      <c r="O42" s="62">
        <f t="shared" si="3"/>
        <v>6914.59</v>
      </c>
      <c r="P42" s="214" t="s">
        <v>102</v>
      </c>
    </row>
    <row r="43" ht="32" customHeight="1" spans="1:16">
      <c r="A43" s="206" t="s">
        <v>103</v>
      </c>
      <c r="B43" s="205" t="s">
        <v>104</v>
      </c>
      <c r="C43" s="19">
        <f>C41/C42</f>
        <v>21.1908102462621</v>
      </c>
      <c r="D43" s="181">
        <f t="shared" ref="D43:E43" si="4">D41/D42</f>
        <v>20.9422601856627</v>
      </c>
      <c r="E43" s="181">
        <f t="shared" si="4"/>
        <v>25.6181005888491</v>
      </c>
      <c r="F43" s="19">
        <f t="shared" si="0"/>
        <v>22.58</v>
      </c>
      <c r="G43" s="19">
        <f>G40/G42</f>
        <v>28.2803041806433</v>
      </c>
      <c r="H43" s="181">
        <f>H40/H42</f>
        <v>26.9446788135111</v>
      </c>
      <c r="I43" s="128">
        <f>I40/I42</f>
        <v>26.0347602455616</v>
      </c>
      <c r="J43" s="19">
        <f t="shared" si="2"/>
        <v>27.09</v>
      </c>
      <c r="K43" s="19">
        <f>K40/K42</f>
        <v>25.0942191303325</v>
      </c>
      <c r="L43" s="128">
        <f>L40/L42</f>
        <v>27.2684987631416</v>
      </c>
      <c r="M43" s="19">
        <f t="shared" si="1"/>
        <v>26.18</v>
      </c>
      <c r="N43" s="19">
        <f>N40/N42</f>
        <v>19.8543264024258</v>
      </c>
      <c r="O43" s="19">
        <f t="shared" si="3"/>
        <v>24.58</v>
      </c>
      <c r="P43" s="205" t="s">
        <v>105</v>
      </c>
    </row>
    <row r="44" ht="35" customHeight="1" spans="1:16">
      <c r="A44" s="206" t="s">
        <v>106</v>
      </c>
      <c r="B44" s="205" t="s">
        <v>107</v>
      </c>
      <c r="C44" s="19">
        <f>C43/C10</f>
        <v>0.522092426357182</v>
      </c>
      <c r="D44" s="181">
        <f>D43/D10</f>
        <v>0.542710618548285</v>
      </c>
      <c r="E44" s="181">
        <f>E43/E10</f>
        <v>0.564068269846219</v>
      </c>
      <c r="F44" s="19">
        <f t="shared" si="0"/>
        <v>0.54</v>
      </c>
      <c r="G44" s="19">
        <f>G43/G10</f>
        <v>0.565594004723283</v>
      </c>
      <c r="H44" s="181">
        <f>H43/H10</f>
        <v>0.538882067843786</v>
      </c>
      <c r="I44" s="128">
        <f>I43/I10</f>
        <v>0.509333157550491</v>
      </c>
      <c r="J44" s="19">
        <f t="shared" si="2"/>
        <v>0.54</v>
      </c>
      <c r="K44" s="19">
        <f>K43/K10</f>
        <v>0.547092760464427</v>
      </c>
      <c r="L44" s="128">
        <f>L43/L10</f>
        <v>0.572066407618356</v>
      </c>
      <c r="M44" s="19">
        <f t="shared" si="1"/>
        <v>0.56</v>
      </c>
      <c r="N44" s="19">
        <f>N43/N10</f>
        <v>0.583422792114683</v>
      </c>
      <c r="O44" s="19">
        <f t="shared" si="3"/>
        <v>0.55</v>
      </c>
      <c r="P44" s="227"/>
    </row>
    <row r="45" ht="28" customHeight="1" spans="1:16">
      <c r="A45" s="206" t="s">
        <v>108</v>
      </c>
      <c r="B45" s="205" t="s">
        <v>109</v>
      </c>
      <c r="C45" s="19">
        <f>'巴运（2021）'!AE20</f>
        <v>45.79</v>
      </c>
      <c r="D45" s="181">
        <f>'巴运 (2020)'!AE19</f>
        <v>47.15</v>
      </c>
      <c r="E45" s="181">
        <f>'巴运 (2019)'!AE13</f>
        <v>49.86</v>
      </c>
      <c r="F45" s="19">
        <f t="shared" si="0"/>
        <v>47.6</v>
      </c>
      <c r="G45" s="19">
        <f>'利民（2021）'!AI46</f>
        <v>62.9</v>
      </c>
      <c r="H45" s="181">
        <f>'利民 (2020)'!AI38</f>
        <v>55.78</v>
      </c>
      <c r="I45" s="128">
        <f>'利民 (2019)'!AI22</f>
        <v>61.56</v>
      </c>
      <c r="J45" s="19">
        <f t="shared" si="2"/>
        <v>60.08</v>
      </c>
      <c r="K45" s="19">
        <f>'万顺（2021）'!AD15</f>
        <v>59.11</v>
      </c>
      <c r="L45" s="128">
        <f>'万顺 (2020)'!AD14</f>
        <v>52</v>
      </c>
      <c r="M45" s="19">
        <f t="shared" si="1"/>
        <v>55.56</v>
      </c>
      <c r="N45" s="19">
        <f>'一凡（2021）'!AE13</f>
        <v>40.4285714285714</v>
      </c>
      <c r="O45" s="19">
        <f t="shared" si="3"/>
        <v>52.73</v>
      </c>
      <c r="P45" s="228"/>
    </row>
    <row r="46" ht="21.95" customHeight="1"/>
    <row r="47" ht="21.95" customHeight="1"/>
    <row r="50" spans="1:1">
      <c r="A50" s="215"/>
    </row>
    <row r="51" spans="3:14">
      <c r="C51" s="216"/>
      <c r="D51" s="217"/>
      <c r="E51" s="217"/>
      <c r="F51" s="217"/>
      <c r="G51" s="216"/>
      <c r="H51" s="217"/>
      <c r="I51" s="217"/>
      <c r="J51" s="217"/>
      <c r="K51" s="216"/>
      <c r="L51" s="229"/>
      <c r="M51" s="229"/>
      <c r="N51" s="216"/>
    </row>
  </sheetData>
  <sheetProtection formatCells="0" insertHyperlinks="0" autoFilter="0"/>
  <mergeCells count="8">
    <mergeCell ref="A2:P2"/>
    <mergeCell ref="C3:F3"/>
    <mergeCell ref="G3:J3"/>
    <mergeCell ref="K3:M3"/>
    <mergeCell ref="A3:A4"/>
    <mergeCell ref="B3:B4"/>
    <mergeCell ref="O3:O4"/>
    <mergeCell ref="P3:P4"/>
  </mergeCells>
  <printOptions verticalCentered="1"/>
  <pageMargins left="0.629861111111111" right="0.236111111111111" top="0.432638888888889" bottom="0.590277777777778" header="0.314583333333333" footer="0.314583333333333"/>
  <pageSetup paperSize="9" scale="70" orientation="landscape"/>
  <headerFooter>
    <oddFooter>&amp;C第 &amp;P 页，共 &amp;N 页</oddFooter>
  </headerFooter>
  <rowBreaks count="1" manualBreakCount="1">
    <brk id="24" max="16383" man="1"/>
  </rowBreaks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48576"/>
  <sheetViews>
    <sheetView showZeros="0" view="pageBreakPreview" zoomScaleNormal="100" zoomScaleSheetLayoutView="100" workbookViewId="0">
      <selection activeCell="N4" sqref="N4"/>
    </sheetView>
  </sheetViews>
  <sheetFormatPr defaultColWidth="9" defaultRowHeight="12"/>
  <cols>
    <col min="1" max="1" width="4" style="3" customWidth="1"/>
    <col min="2" max="2" width="6.25" style="3" customWidth="1"/>
    <col min="3" max="3" width="8.25" style="3" customWidth="1"/>
    <col min="4" max="4" width="6.25" style="3" customWidth="1"/>
    <col min="5" max="5" width="4.88333333333333" style="3" customWidth="1"/>
    <col min="6" max="6" width="9.5" style="3" customWidth="1"/>
    <col min="7" max="7" width="5.63333333333333" style="3" customWidth="1"/>
    <col min="8" max="8" width="4.63333333333333" style="3" customWidth="1"/>
    <col min="9" max="9" width="7.13333333333333" style="4" customWidth="1"/>
    <col min="10" max="11" width="6.38333333333333" style="4" customWidth="1"/>
    <col min="12" max="13" width="6.88333333333333" style="4" customWidth="1"/>
    <col min="14" max="14" width="6.25" style="4" customWidth="1"/>
    <col min="15" max="17" width="6.63333333333333" style="4" customWidth="1"/>
    <col min="18" max="18" width="7.25" style="4" customWidth="1"/>
    <col min="19" max="21" width="6.13333333333333" style="4" customWidth="1"/>
    <col min="22" max="22" width="5.75" style="3" customWidth="1"/>
    <col min="23" max="23" width="6" style="3" customWidth="1"/>
    <col min="24" max="24" width="6.25" style="3" customWidth="1"/>
    <col min="25" max="25" width="7.25" style="3" customWidth="1"/>
    <col min="26" max="26" width="7.5" style="3" customWidth="1"/>
    <col min="27" max="27" width="9.25" style="3" customWidth="1"/>
    <col min="28" max="28" width="7.88333333333333" style="3" customWidth="1"/>
    <col min="29" max="29" width="8.5" style="3" customWidth="1"/>
    <col min="30" max="30" width="11.3833333333333" style="3" customWidth="1"/>
    <col min="31" max="31" width="5.75" style="3" customWidth="1"/>
    <col min="32" max="32" width="5.13333333333333" style="3" customWidth="1"/>
    <col min="33" max="33" width="5.5" style="3" customWidth="1"/>
    <col min="34" max="34" width="6" style="3" customWidth="1"/>
    <col min="35" max="35" width="8.25" style="3" customWidth="1"/>
    <col min="36" max="36" width="6.5" style="3" customWidth="1"/>
    <col min="37" max="37" width="8.63333333333333" style="3" customWidth="1"/>
    <col min="38" max="38" width="8.5" style="3" customWidth="1"/>
    <col min="39" max="16384" width="9" style="3"/>
  </cols>
  <sheetData>
    <row r="1" ht="21" customHeight="1" spans="1:6">
      <c r="A1" s="3" t="s">
        <v>459</v>
      </c>
      <c r="F1" s="5"/>
    </row>
    <row r="2" ht="32" customHeight="1" spans="1:38">
      <c r="A2" s="6" t="s">
        <v>111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 t="s">
        <v>111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ht="38.1" customHeight="1" spans="1:38">
      <c r="A3" s="7" t="s">
        <v>460</v>
      </c>
      <c r="B3" s="6"/>
      <c r="C3" s="6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6" t="s">
        <v>113</v>
      </c>
      <c r="U3" s="26"/>
      <c r="V3" s="26"/>
      <c r="W3" s="26"/>
      <c r="X3" s="27"/>
      <c r="Y3" s="27"/>
      <c r="Z3" s="6"/>
      <c r="AA3" s="6"/>
      <c r="AB3" s="30"/>
      <c r="AC3" s="30"/>
      <c r="AG3" s="36" t="s">
        <v>113</v>
      </c>
      <c r="AH3" s="36"/>
      <c r="AI3" s="36"/>
      <c r="AJ3" s="36"/>
      <c r="AK3" s="36"/>
      <c r="AL3" s="36"/>
    </row>
    <row r="4" s="1" customFormat="1" ht="45.95" customHeight="1" spans="1:38">
      <c r="A4" s="9" t="s">
        <v>114</v>
      </c>
      <c r="B4" s="9" t="s">
        <v>461</v>
      </c>
      <c r="C4" s="9" t="s">
        <v>224</v>
      </c>
      <c r="D4" s="9" t="s">
        <v>462</v>
      </c>
      <c r="E4" s="9" t="s">
        <v>120</v>
      </c>
      <c r="F4" s="9" t="s">
        <v>463</v>
      </c>
      <c r="G4" s="10" t="s">
        <v>123</v>
      </c>
      <c r="H4" s="11" t="s">
        <v>125</v>
      </c>
      <c r="I4" s="22" t="s">
        <v>126</v>
      </c>
      <c r="J4" s="22" t="s">
        <v>127</v>
      </c>
      <c r="K4" s="22" t="s">
        <v>128</v>
      </c>
      <c r="L4" s="23" t="s">
        <v>129</v>
      </c>
      <c r="M4" s="22" t="s">
        <v>232</v>
      </c>
      <c r="N4" s="24" t="s">
        <v>464</v>
      </c>
      <c r="O4" s="25" t="s">
        <v>465</v>
      </c>
      <c r="P4" s="25" t="s">
        <v>466</v>
      </c>
      <c r="Q4" s="25" t="s">
        <v>467</v>
      </c>
      <c r="R4" s="25" t="s">
        <v>468</v>
      </c>
      <c r="S4" s="28" t="s">
        <v>134</v>
      </c>
      <c r="T4" s="28" t="s">
        <v>138</v>
      </c>
      <c r="U4" s="29" t="s">
        <v>139</v>
      </c>
      <c r="V4" s="24" t="s">
        <v>469</v>
      </c>
      <c r="W4" s="24" t="s">
        <v>470</v>
      </c>
      <c r="X4" s="24" t="s">
        <v>135</v>
      </c>
      <c r="Y4" s="9" t="s">
        <v>140</v>
      </c>
      <c r="Z4" s="24" t="s">
        <v>471</v>
      </c>
      <c r="AA4" s="24" t="s">
        <v>234</v>
      </c>
      <c r="AB4" s="31" t="s">
        <v>141</v>
      </c>
      <c r="AC4" s="31" t="s">
        <v>142</v>
      </c>
      <c r="AD4" s="9" t="s">
        <v>122</v>
      </c>
      <c r="AE4" s="24" t="s">
        <v>143</v>
      </c>
      <c r="AF4" s="9" t="s">
        <v>144</v>
      </c>
      <c r="AG4" s="24" t="s">
        <v>145</v>
      </c>
      <c r="AH4" s="24" t="s">
        <v>146</v>
      </c>
      <c r="AI4" s="24" t="s">
        <v>147</v>
      </c>
      <c r="AJ4" s="24" t="s">
        <v>148</v>
      </c>
      <c r="AK4" s="24" t="s">
        <v>149</v>
      </c>
      <c r="AL4" s="24" t="s">
        <v>150</v>
      </c>
    </row>
    <row r="5" s="2" customFormat="1" ht="33" customHeight="1" spans="1:38">
      <c r="A5" s="12">
        <v>1</v>
      </c>
      <c r="B5" s="12" t="s">
        <v>472</v>
      </c>
      <c r="C5" s="12" t="s">
        <v>473</v>
      </c>
      <c r="D5" s="12" t="s">
        <v>371</v>
      </c>
      <c r="E5" s="12">
        <v>7</v>
      </c>
      <c r="F5" s="13" t="s">
        <v>474</v>
      </c>
      <c r="G5" s="14">
        <v>320</v>
      </c>
      <c r="H5" s="14">
        <v>7</v>
      </c>
      <c r="I5" s="14">
        <v>20000</v>
      </c>
      <c r="J5" s="14">
        <v>3539.82</v>
      </c>
      <c r="K5" s="14">
        <f>ROUND((I5+J5)*0.97/H5,2)</f>
        <v>3261.95</v>
      </c>
      <c r="L5" s="14">
        <f t="shared" ref="L5:L7" si="0">320*12</f>
        <v>3840</v>
      </c>
      <c r="M5" s="14">
        <f>4500*12</f>
        <v>54000</v>
      </c>
      <c r="N5" s="14">
        <v>6472.8</v>
      </c>
      <c r="O5" s="14">
        <v>2115</v>
      </c>
      <c r="P5" s="14">
        <v>1628.71</v>
      </c>
      <c r="Q5" s="14">
        <v>3240</v>
      </c>
      <c r="R5" s="14">
        <f>AI5*7.5*0.12*1.1</f>
        <v>77172.48</v>
      </c>
      <c r="S5" s="14">
        <v>360</v>
      </c>
      <c r="T5" s="14">
        <v>5000</v>
      </c>
      <c r="U5" s="14">
        <f t="shared" ref="U5:U11" si="1">80*12</f>
        <v>960</v>
      </c>
      <c r="V5" s="14">
        <f t="shared" ref="V5:V11" si="2">2650/H5</f>
        <v>378.571428571429</v>
      </c>
      <c r="W5" s="14">
        <f>230*4</f>
        <v>920</v>
      </c>
      <c r="X5" s="14">
        <v>680</v>
      </c>
      <c r="Y5" s="14">
        <v>40</v>
      </c>
      <c r="Z5" s="14">
        <f t="shared" ref="Z5:Z11" si="3">360*12</f>
        <v>4320</v>
      </c>
      <c r="AA5" s="14">
        <f>100*12</f>
        <v>1200</v>
      </c>
      <c r="AB5" s="19">
        <f>SUM(K5:AA5)</f>
        <v>165589.511428571</v>
      </c>
      <c r="AC5" s="14">
        <f>(E5-1)*AG5*12*通江农村客运车辆成本信息核定表!$N$8</f>
        <v>9676.8</v>
      </c>
      <c r="AD5" s="32" t="s">
        <v>475</v>
      </c>
      <c r="AE5" s="14">
        <v>29</v>
      </c>
      <c r="AF5" s="14">
        <v>15</v>
      </c>
      <c r="AG5" s="14">
        <f>AH5*2*4</f>
        <v>224</v>
      </c>
      <c r="AH5" s="14">
        <v>28</v>
      </c>
      <c r="AI5" s="14">
        <f>AG5*12*AE5</f>
        <v>77952</v>
      </c>
      <c r="AJ5" s="14">
        <v>1645</v>
      </c>
      <c r="AK5" s="14"/>
      <c r="AL5" s="14">
        <f>AF5*AC5</f>
        <v>145152</v>
      </c>
    </row>
    <row r="6" s="2" customFormat="1" ht="33" customHeight="1" spans="1:38">
      <c r="A6" s="12">
        <v>2</v>
      </c>
      <c r="B6" s="12" t="s">
        <v>476</v>
      </c>
      <c r="C6" s="12" t="s">
        <v>477</v>
      </c>
      <c r="D6" s="12" t="s">
        <v>371</v>
      </c>
      <c r="E6" s="12">
        <v>8</v>
      </c>
      <c r="F6" s="13" t="s">
        <v>474</v>
      </c>
      <c r="G6" s="14">
        <v>320</v>
      </c>
      <c r="H6" s="14">
        <v>7</v>
      </c>
      <c r="I6" s="14">
        <v>63300</v>
      </c>
      <c r="J6" s="14">
        <f t="shared" ref="J6:J11" si="4">I6/1.13*0.1</f>
        <v>5601.76991150443</v>
      </c>
      <c r="K6" s="14">
        <f>ROUND((I6+J6)*0.97/H6,2)</f>
        <v>9547.82</v>
      </c>
      <c r="L6" s="14">
        <f t="shared" si="0"/>
        <v>3840</v>
      </c>
      <c r="M6" s="14">
        <f t="shared" ref="M6:M11" si="5">4500*12</f>
        <v>54000</v>
      </c>
      <c r="N6" s="14">
        <v>6472.8</v>
      </c>
      <c r="O6" s="14">
        <v>2350</v>
      </c>
      <c r="P6" s="14">
        <v>2546.59</v>
      </c>
      <c r="Q6" s="14">
        <v>3240</v>
      </c>
      <c r="R6" s="14">
        <f>AI6*7.5*0.12*1.1</f>
        <v>29937.6</v>
      </c>
      <c r="S6" s="14">
        <v>360</v>
      </c>
      <c r="T6" s="14">
        <v>5000</v>
      </c>
      <c r="U6" s="14">
        <f t="shared" si="1"/>
        <v>960</v>
      </c>
      <c r="V6" s="14">
        <f t="shared" si="2"/>
        <v>378.571428571429</v>
      </c>
      <c r="W6" s="14">
        <f t="shared" ref="W6:W11" si="6">230*4</f>
        <v>920</v>
      </c>
      <c r="X6" s="14">
        <v>680</v>
      </c>
      <c r="Y6" s="14">
        <v>40</v>
      </c>
      <c r="Z6" s="14">
        <f t="shared" si="3"/>
        <v>4320</v>
      </c>
      <c r="AA6" s="14">
        <f t="shared" ref="AA6:AA11" si="7">100*12</f>
        <v>1200</v>
      </c>
      <c r="AB6" s="19">
        <f t="shared" ref="AB6:AB11" si="8">SUM(K6:AA6)</f>
        <v>125793.381428571</v>
      </c>
      <c r="AC6" s="14">
        <f>(E6-1)*AG6*12*通江农村客运车辆成本信息核定表!$N$8</f>
        <v>8467.2</v>
      </c>
      <c r="AD6" s="32" t="s">
        <v>478</v>
      </c>
      <c r="AE6" s="14">
        <v>15</v>
      </c>
      <c r="AF6" s="14">
        <v>8</v>
      </c>
      <c r="AG6" s="14">
        <f>AH6*2*3</f>
        <v>168</v>
      </c>
      <c r="AH6" s="14">
        <v>28</v>
      </c>
      <c r="AI6" s="14">
        <f t="shared" ref="AI6:AI11" si="9">AG6*12*AE6</f>
        <v>30240</v>
      </c>
      <c r="AJ6" s="14">
        <v>1645</v>
      </c>
      <c r="AK6" s="14"/>
      <c r="AL6" s="14">
        <f t="shared" ref="AL6:AL11" si="10">AF6*AC6</f>
        <v>67737.6</v>
      </c>
    </row>
    <row r="7" s="2" customFormat="1" ht="33" customHeight="1" spans="1:38">
      <c r="A7" s="12">
        <v>3</v>
      </c>
      <c r="B7" s="12" t="s">
        <v>479</v>
      </c>
      <c r="C7" s="12" t="s">
        <v>480</v>
      </c>
      <c r="D7" s="12" t="s">
        <v>371</v>
      </c>
      <c r="E7" s="12">
        <v>8</v>
      </c>
      <c r="F7" s="13" t="s">
        <v>481</v>
      </c>
      <c r="G7" s="14">
        <v>320</v>
      </c>
      <c r="H7" s="14">
        <v>7</v>
      </c>
      <c r="I7" s="14">
        <v>62800</v>
      </c>
      <c r="J7" s="14">
        <f t="shared" si="4"/>
        <v>5557.52212389381</v>
      </c>
      <c r="K7" s="14">
        <f>ROUND((I7+J7)*0.97/H7/12*11,2)</f>
        <v>8683.03</v>
      </c>
      <c r="L7" s="14">
        <f t="shared" si="0"/>
        <v>3840</v>
      </c>
      <c r="M7" s="14">
        <f t="shared" si="5"/>
        <v>54000</v>
      </c>
      <c r="N7" s="14">
        <v>6472.8</v>
      </c>
      <c r="O7" s="14">
        <f>2350</f>
        <v>2350</v>
      </c>
      <c r="P7" s="14">
        <f>2591.62</f>
        <v>2591.62</v>
      </c>
      <c r="Q7" s="14">
        <f>3240</f>
        <v>3240</v>
      </c>
      <c r="R7" s="14">
        <f>AI7*7.5*0.1*1.1</f>
        <v>31046.4</v>
      </c>
      <c r="S7" s="14">
        <v>360</v>
      </c>
      <c r="T7" s="14">
        <v>5000</v>
      </c>
      <c r="U7" s="14">
        <f t="shared" si="1"/>
        <v>960</v>
      </c>
      <c r="V7" s="14">
        <f t="shared" si="2"/>
        <v>378.571428571429</v>
      </c>
      <c r="W7" s="14">
        <f t="shared" si="6"/>
        <v>920</v>
      </c>
      <c r="X7" s="14">
        <v>680</v>
      </c>
      <c r="Y7" s="14">
        <v>20</v>
      </c>
      <c r="Z7" s="14">
        <f t="shared" si="3"/>
        <v>4320</v>
      </c>
      <c r="AA7" s="14">
        <f t="shared" si="7"/>
        <v>1200</v>
      </c>
      <c r="AB7" s="19">
        <f t="shared" si="8"/>
        <v>126062.421428571</v>
      </c>
      <c r="AC7" s="14">
        <f>(E7-1)*AG7*12*通江农村客运车辆成本信息核定表!$N$8</f>
        <v>5644.8</v>
      </c>
      <c r="AD7" s="32" t="s">
        <v>482</v>
      </c>
      <c r="AE7" s="14">
        <v>28</v>
      </c>
      <c r="AF7" s="14">
        <v>15</v>
      </c>
      <c r="AG7" s="14">
        <f>AH7*2*2</f>
        <v>112</v>
      </c>
      <c r="AH7" s="14">
        <v>28</v>
      </c>
      <c r="AI7" s="14">
        <f t="shared" si="9"/>
        <v>37632</v>
      </c>
      <c r="AJ7" s="14">
        <v>1370.83</v>
      </c>
      <c r="AK7" s="14"/>
      <c r="AL7" s="14">
        <f t="shared" si="10"/>
        <v>84672</v>
      </c>
    </row>
    <row r="8" s="2" customFormat="1" ht="33" customHeight="1" spans="1:38">
      <c r="A8" s="12">
        <v>4</v>
      </c>
      <c r="B8" s="12" t="s">
        <v>483</v>
      </c>
      <c r="C8" s="12" t="s">
        <v>484</v>
      </c>
      <c r="D8" s="12" t="s">
        <v>342</v>
      </c>
      <c r="E8" s="12">
        <v>9</v>
      </c>
      <c r="F8" s="13" t="s">
        <v>485</v>
      </c>
      <c r="G8" s="14">
        <v>500</v>
      </c>
      <c r="H8" s="14">
        <v>7</v>
      </c>
      <c r="I8" s="14">
        <v>80000</v>
      </c>
      <c r="J8" s="14">
        <f t="shared" si="4"/>
        <v>7079.64601769912</v>
      </c>
      <c r="K8" s="14">
        <f>ROUND((I8+J8)*0.97/H8/12*8,2)</f>
        <v>8044.5</v>
      </c>
      <c r="L8" s="14">
        <f>500*12</f>
        <v>6000</v>
      </c>
      <c r="M8" s="14">
        <f t="shared" si="5"/>
        <v>54000</v>
      </c>
      <c r="N8" s="14">
        <v>6472.8</v>
      </c>
      <c r="O8" s="14">
        <f>2350</f>
        <v>2350</v>
      </c>
      <c r="P8" s="14">
        <f>2591.62</f>
        <v>2591.62</v>
      </c>
      <c r="Q8" s="14">
        <f>3645</f>
        <v>3645</v>
      </c>
      <c r="R8" s="14">
        <f>AI8*7.5*0.12*1.1</f>
        <v>61205.76</v>
      </c>
      <c r="S8" s="14">
        <v>360</v>
      </c>
      <c r="T8" s="14">
        <v>5000</v>
      </c>
      <c r="U8" s="14">
        <f t="shared" si="1"/>
        <v>960</v>
      </c>
      <c r="V8" s="14">
        <f t="shared" si="2"/>
        <v>378.571428571429</v>
      </c>
      <c r="W8" s="14">
        <f t="shared" si="6"/>
        <v>920</v>
      </c>
      <c r="X8" s="14">
        <v>680</v>
      </c>
      <c r="Y8" s="14">
        <v>20</v>
      </c>
      <c r="Z8" s="14">
        <f t="shared" si="3"/>
        <v>4320</v>
      </c>
      <c r="AA8" s="14">
        <f t="shared" si="7"/>
        <v>1200</v>
      </c>
      <c r="AB8" s="19">
        <f t="shared" si="8"/>
        <v>158148.251428571</v>
      </c>
      <c r="AC8" s="14">
        <f>(E8-1)*AG8*12*通江农村客运车辆成本信息核定表!$N$8</f>
        <v>6451.2</v>
      </c>
      <c r="AD8" s="32" t="s">
        <v>486</v>
      </c>
      <c r="AE8" s="14">
        <v>46</v>
      </c>
      <c r="AF8" s="14">
        <v>20</v>
      </c>
      <c r="AG8" s="14">
        <f>AH8*2*2</f>
        <v>112</v>
      </c>
      <c r="AH8" s="14">
        <v>28</v>
      </c>
      <c r="AI8" s="14">
        <f t="shared" si="9"/>
        <v>61824</v>
      </c>
      <c r="AJ8" s="14">
        <v>685.41</v>
      </c>
      <c r="AK8" s="14"/>
      <c r="AL8" s="14">
        <f t="shared" si="10"/>
        <v>129024</v>
      </c>
    </row>
    <row r="9" s="2" customFormat="1" ht="33" customHeight="1" spans="1:38">
      <c r="A9" s="12">
        <v>5</v>
      </c>
      <c r="B9" s="12" t="s">
        <v>487</v>
      </c>
      <c r="C9" s="12" t="s">
        <v>488</v>
      </c>
      <c r="D9" s="12" t="s">
        <v>489</v>
      </c>
      <c r="E9" s="12">
        <v>14</v>
      </c>
      <c r="F9" s="13" t="s">
        <v>490</v>
      </c>
      <c r="G9" s="14">
        <v>620</v>
      </c>
      <c r="H9" s="14">
        <v>7</v>
      </c>
      <c r="I9" s="14">
        <v>128000</v>
      </c>
      <c r="J9" s="14">
        <f t="shared" si="4"/>
        <v>11327.4336283186</v>
      </c>
      <c r="K9" s="14">
        <f>ROUND((I9+J9)*0.97/H9/12*7,2)</f>
        <v>11262.3</v>
      </c>
      <c r="L9" s="14">
        <f>620*12</f>
        <v>7440</v>
      </c>
      <c r="M9" s="14">
        <f t="shared" si="5"/>
        <v>54000</v>
      </c>
      <c r="N9" s="14">
        <v>6472.8</v>
      </c>
      <c r="O9" s="14">
        <f>2620</f>
        <v>2620</v>
      </c>
      <c r="P9" s="14">
        <f>4372.36</f>
        <v>4372.36</v>
      </c>
      <c r="Q9" s="14">
        <f>5040</f>
        <v>5040</v>
      </c>
      <c r="R9" s="14">
        <f>AI9*7.5*0.12*1.1</f>
        <v>49896</v>
      </c>
      <c r="S9" s="14">
        <v>360</v>
      </c>
      <c r="T9" s="14">
        <v>5000</v>
      </c>
      <c r="U9" s="14">
        <f t="shared" si="1"/>
        <v>960</v>
      </c>
      <c r="V9" s="14">
        <f t="shared" si="2"/>
        <v>378.571428571429</v>
      </c>
      <c r="W9" s="14">
        <f t="shared" si="6"/>
        <v>920</v>
      </c>
      <c r="X9" s="14">
        <v>680</v>
      </c>
      <c r="Y9" s="14">
        <v>20</v>
      </c>
      <c r="Z9" s="14">
        <f>453*12</f>
        <v>5436</v>
      </c>
      <c r="AA9" s="14">
        <f t="shared" si="7"/>
        <v>1200</v>
      </c>
      <c r="AB9" s="19">
        <f t="shared" si="8"/>
        <v>156058.031428571</v>
      </c>
      <c r="AC9" s="14">
        <f>(E9-1)*AG9*12*通江农村客运车辆成本信息核定表!$N$8</f>
        <v>6552</v>
      </c>
      <c r="AD9" s="32" t="s">
        <v>491</v>
      </c>
      <c r="AE9" s="14">
        <v>60</v>
      </c>
      <c r="AF9" s="14">
        <v>25</v>
      </c>
      <c r="AG9" s="14">
        <v>70</v>
      </c>
      <c r="AH9" s="14">
        <v>28</v>
      </c>
      <c r="AI9" s="14">
        <f t="shared" si="9"/>
        <v>50400</v>
      </c>
      <c r="AJ9" s="14">
        <v>685.41</v>
      </c>
      <c r="AK9" s="14"/>
      <c r="AL9" s="14">
        <f t="shared" si="10"/>
        <v>163800</v>
      </c>
    </row>
    <row r="10" s="2" customFormat="1" ht="33" customHeight="1" spans="1:38">
      <c r="A10" s="12">
        <v>6</v>
      </c>
      <c r="B10" s="12" t="s">
        <v>492</v>
      </c>
      <c r="C10" s="12" t="s">
        <v>493</v>
      </c>
      <c r="D10" s="12" t="s">
        <v>494</v>
      </c>
      <c r="E10" s="12">
        <v>14</v>
      </c>
      <c r="F10" s="13" t="s">
        <v>495</v>
      </c>
      <c r="G10" s="14">
        <v>620</v>
      </c>
      <c r="H10" s="14">
        <v>7</v>
      </c>
      <c r="I10" s="14">
        <v>130000</v>
      </c>
      <c r="J10" s="14">
        <f t="shared" si="4"/>
        <v>11504.4247787611</v>
      </c>
      <c r="K10" s="14">
        <f>ROUND((I10+J10)*0.97/H10/12*5,2)</f>
        <v>8170.2</v>
      </c>
      <c r="L10" s="14">
        <f>620*12</f>
        <v>7440</v>
      </c>
      <c r="M10" s="14">
        <f t="shared" si="5"/>
        <v>54000</v>
      </c>
      <c r="N10" s="14">
        <v>6472.8</v>
      </c>
      <c r="O10" s="14">
        <f>2620</f>
        <v>2620</v>
      </c>
      <c r="P10" s="14">
        <f>4372.36</f>
        <v>4372.36</v>
      </c>
      <c r="Q10" s="14">
        <f>5039.67</f>
        <v>5039.67</v>
      </c>
      <c r="R10" s="14">
        <f>AI10*7.5*0.12*1.1</f>
        <v>48565.44</v>
      </c>
      <c r="S10" s="14">
        <v>360</v>
      </c>
      <c r="T10" s="14">
        <v>5000</v>
      </c>
      <c r="U10" s="14">
        <f t="shared" si="1"/>
        <v>960</v>
      </c>
      <c r="V10" s="14">
        <f t="shared" si="2"/>
        <v>378.571428571429</v>
      </c>
      <c r="W10" s="14">
        <f t="shared" si="6"/>
        <v>920</v>
      </c>
      <c r="X10" s="14">
        <v>680</v>
      </c>
      <c r="Y10" s="14">
        <v>20</v>
      </c>
      <c r="Z10" s="14">
        <f t="shared" si="3"/>
        <v>4320</v>
      </c>
      <c r="AA10" s="14">
        <f t="shared" si="7"/>
        <v>1200</v>
      </c>
      <c r="AB10" s="19">
        <f t="shared" si="8"/>
        <v>150519.041428571</v>
      </c>
      <c r="AC10" s="14">
        <f>(E10-1)*AG10*12*通江农村客运车辆成本信息核定表!$N$8</f>
        <v>5241.6</v>
      </c>
      <c r="AD10" s="32" t="s">
        <v>496</v>
      </c>
      <c r="AE10" s="14">
        <v>73</v>
      </c>
      <c r="AF10" s="14">
        <v>27</v>
      </c>
      <c r="AG10" s="14">
        <f>AH10*2*1</f>
        <v>56</v>
      </c>
      <c r="AH10" s="14">
        <v>28</v>
      </c>
      <c r="AI10" s="14">
        <f t="shared" si="9"/>
        <v>49056</v>
      </c>
      <c r="AJ10" s="14">
        <v>5411</v>
      </c>
      <c r="AK10" s="14"/>
      <c r="AL10" s="14">
        <f t="shared" si="10"/>
        <v>141523.2</v>
      </c>
    </row>
    <row r="11" s="2" customFormat="1" ht="33" customHeight="1" spans="1:38">
      <c r="A11" s="12">
        <v>7</v>
      </c>
      <c r="B11" s="12" t="s">
        <v>497</v>
      </c>
      <c r="C11" s="12" t="s">
        <v>498</v>
      </c>
      <c r="D11" s="12" t="s">
        <v>428</v>
      </c>
      <c r="E11" s="12">
        <v>9</v>
      </c>
      <c r="F11" s="13" t="s">
        <v>499</v>
      </c>
      <c r="G11" s="14">
        <v>500</v>
      </c>
      <c r="H11" s="14">
        <v>7</v>
      </c>
      <c r="I11" s="14">
        <v>85800</v>
      </c>
      <c r="J11" s="14">
        <f t="shared" si="4"/>
        <v>7592.9203539823</v>
      </c>
      <c r="K11" s="14">
        <f>ROUND((I11+J11)*0.97/H11/12*2,2)</f>
        <v>2156.93</v>
      </c>
      <c r="L11" s="14">
        <f>500*12</f>
        <v>6000</v>
      </c>
      <c r="M11" s="14">
        <f t="shared" si="5"/>
        <v>54000</v>
      </c>
      <c r="N11" s="14">
        <v>6472.8</v>
      </c>
      <c r="O11" s="14">
        <f>2350</f>
        <v>2350</v>
      </c>
      <c r="P11" s="14">
        <f>2818.91</f>
        <v>2818.91</v>
      </c>
      <c r="Q11" s="14">
        <f>3645</f>
        <v>3645</v>
      </c>
      <c r="R11" s="14">
        <f>AI11*7.5*0.1*1.1</f>
        <v>53222.4</v>
      </c>
      <c r="S11" s="14">
        <v>360</v>
      </c>
      <c r="T11" s="14">
        <v>5000</v>
      </c>
      <c r="U11" s="14">
        <f t="shared" si="1"/>
        <v>960</v>
      </c>
      <c r="V11" s="14">
        <f t="shared" si="2"/>
        <v>378.571428571429</v>
      </c>
      <c r="W11" s="14">
        <f t="shared" si="6"/>
        <v>920</v>
      </c>
      <c r="X11" s="14">
        <v>680</v>
      </c>
      <c r="Y11" s="14">
        <v>20</v>
      </c>
      <c r="Z11" s="14">
        <f t="shared" si="3"/>
        <v>4320</v>
      </c>
      <c r="AA11" s="14">
        <f t="shared" si="7"/>
        <v>1200</v>
      </c>
      <c r="AB11" s="19">
        <f t="shared" si="8"/>
        <v>144504.611428571</v>
      </c>
      <c r="AC11" s="14">
        <f>(E11-1)*AG11*12*通江农村客运车辆成本信息核定表!$N$8</f>
        <v>9676.8</v>
      </c>
      <c r="AD11" s="32" t="s">
        <v>500</v>
      </c>
      <c r="AE11" s="14">
        <v>32</v>
      </c>
      <c r="AF11" s="14">
        <v>15</v>
      </c>
      <c r="AG11" s="14">
        <f>AH11*2*3</f>
        <v>168</v>
      </c>
      <c r="AH11" s="14">
        <v>28</v>
      </c>
      <c r="AI11" s="14">
        <f t="shared" si="9"/>
        <v>64512</v>
      </c>
      <c r="AJ11" s="14"/>
      <c r="AK11" s="14"/>
      <c r="AL11" s="14">
        <f t="shared" si="10"/>
        <v>145152</v>
      </c>
    </row>
    <row r="12" s="2" customFormat="1" ht="33" customHeight="1" spans="1:38">
      <c r="A12" s="15" t="s">
        <v>216</v>
      </c>
      <c r="B12" s="16"/>
      <c r="C12" s="17"/>
      <c r="D12" s="17"/>
      <c r="E12" s="17"/>
      <c r="F12" s="17"/>
      <c r="G12" s="14">
        <f t="shared" ref="G12:AC12" si="11">SUM(G5:G11)</f>
        <v>3200</v>
      </c>
      <c r="H12" s="14">
        <f t="shared" si="11"/>
        <v>49</v>
      </c>
      <c r="I12" s="14">
        <f t="shared" si="11"/>
        <v>569900</v>
      </c>
      <c r="J12" s="19">
        <f t="shared" si="11"/>
        <v>52203.5368141594</v>
      </c>
      <c r="K12" s="19">
        <f t="shared" si="11"/>
        <v>51126.73</v>
      </c>
      <c r="L12" s="19">
        <f t="shared" si="11"/>
        <v>38400</v>
      </c>
      <c r="M12" s="19">
        <f t="shared" si="11"/>
        <v>378000</v>
      </c>
      <c r="N12" s="19">
        <f t="shared" si="11"/>
        <v>45309.6</v>
      </c>
      <c r="O12" s="19">
        <f t="shared" si="11"/>
        <v>16755</v>
      </c>
      <c r="P12" s="19">
        <f t="shared" si="11"/>
        <v>20922.17</v>
      </c>
      <c r="Q12" s="19">
        <f t="shared" si="11"/>
        <v>27089.67</v>
      </c>
      <c r="R12" s="19">
        <f t="shared" si="11"/>
        <v>351046.08</v>
      </c>
      <c r="S12" s="19">
        <f t="shared" si="11"/>
        <v>2520</v>
      </c>
      <c r="T12" s="19">
        <f t="shared" si="11"/>
        <v>35000</v>
      </c>
      <c r="U12" s="19">
        <f t="shared" si="11"/>
        <v>6720</v>
      </c>
      <c r="V12" s="19">
        <f t="shared" si="11"/>
        <v>2650</v>
      </c>
      <c r="W12" s="19">
        <f t="shared" si="11"/>
        <v>6440</v>
      </c>
      <c r="X12" s="19">
        <f t="shared" si="11"/>
        <v>4760</v>
      </c>
      <c r="Y12" s="19">
        <f t="shared" si="11"/>
        <v>180</v>
      </c>
      <c r="Z12" s="19">
        <f t="shared" si="11"/>
        <v>31356</v>
      </c>
      <c r="AA12" s="19">
        <f t="shared" si="11"/>
        <v>8400</v>
      </c>
      <c r="AB12" s="19">
        <f t="shared" si="11"/>
        <v>1026675.25</v>
      </c>
      <c r="AC12" s="14">
        <f t="shared" si="11"/>
        <v>51710.4</v>
      </c>
      <c r="AD12" s="33" t="s">
        <v>216</v>
      </c>
      <c r="AE12" s="19">
        <f t="shared" ref="AE12:AL12" si="12">SUM(AE5:AE11)</f>
        <v>283</v>
      </c>
      <c r="AF12" s="19">
        <f t="shared" si="12"/>
        <v>125</v>
      </c>
      <c r="AG12" s="19">
        <f t="shared" si="12"/>
        <v>910</v>
      </c>
      <c r="AH12" s="19">
        <f t="shared" si="12"/>
        <v>196</v>
      </c>
      <c r="AI12" s="19">
        <f t="shared" si="12"/>
        <v>371616</v>
      </c>
      <c r="AJ12" s="19">
        <f t="shared" si="12"/>
        <v>11442.65</v>
      </c>
      <c r="AK12" s="19">
        <f t="shared" si="12"/>
        <v>0</v>
      </c>
      <c r="AL12" s="19">
        <f t="shared" si="12"/>
        <v>877060.8</v>
      </c>
    </row>
    <row r="13" s="2" customFormat="1" ht="33" customHeight="1" spans="1:38">
      <c r="A13" s="18" t="s">
        <v>217</v>
      </c>
      <c r="B13" s="16"/>
      <c r="C13" s="17"/>
      <c r="D13" s="17"/>
      <c r="E13" s="17"/>
      <c r="F13" s="17"/>
      <c r="G13" s="19">
        <f>ROUND(G12/$A$15,2)</f>
        <v>457.14</v>
      </c>
      <c r="H13" s="19">
        <f t="shared" ref="H13:AC13" si="13">ROUND(H12/$A$15,2)</f>
        <v>7</v>
      </c>
      <c r="I13" s="19">
        <f t="shared" si="13"/>
        <v>81414.29</v>
      </c>
      <c r="J13" s="19">
        <f t="shared" si="13"/>
        <v>7457.65</v>
      </c>
      <c r="K13" s="19">
        <f t="shared" si="13"/>
        <v>7303.82</v>
      </c>
      <c r="L13" s="19">
        <f t="shared" si="13"/>
        <v>5485.71</v>
      </c>
      <c r="M13" s="19">
        <f t="shared" si="13"/>
        <v>54000</v>
      </c>
      <c r="N13" s="19">
        <f t="shared" si="13"/>
        <v>6472.8</v>
      </c>
      <c r="O13" s="19">
        <f t="shared" si="13"/>
        <v>2393.57</v>
      </c>
      <c r="P13" s="19">
        <f t="shared" si="13"/>
        <v>2988.88</v>
      </c>
      <c r="Q13" s="19">
        <f t="shared" si="13"/>
        <v>3869.95</v>
      </c>
      <c r="R13" s="19">
        <f t="shared" si="13"/>
        <v>50149.44</v>
      </c>
      <c r="S13" s="19">
        <f t="shared" si="13"/>
        <v>360</v>
      </c>
      <c r="T13" s="19">
        <f t="shared" si="13"/>
        <v>5000</v>
      </c>
      <c r="U13" s="19">
        <f t="shared" si="13"/>
        <v>960</v>
      </c>
      <c r="V13" s="19">
        <f t="shared" si="13"/>
        <v>378.57</v>
      </c>
      <c r="W13" s="19">
        <f t="shared" si="13"/>
        <v>920</v>
      </c>
      <c r="X13" s="19">
        <f t="shared" si="13"/>
        <v>680</v>
      </c>
      <c r="Y13" s="19">
        <f t="shared" si="13"/>
        <v>25.71</v>
      </c>
      <c r="Z13" s="19">
        <f t="shared" si="13"/>
        <v>4479.43</v>
      </c>
      <c r="AA13" s="19">
        <f t="shared" si="13"/>
        <v>1200</v>
      </c>
      <c r="AB13" s="19">
        <f>ROUND(AB12/$A$15,2)-0.01</f>
        <v>146667.88</v>
      </c>
      <c r="AC13" s="19">
        <f t="shared" si="13"/>
        <v>7387.2</v>
      </c>
      <c r="AD13" s="34" t="s">
        <v>217</v>
      </c>
      <c r="AE13" s="19">
        <f t="shared" ref="AE13:AL13" si="14">AE12/$A$15</f>
        <v>40.4285714285714</v>
      </c>
      <c r="AF13" s="19">
        <f t="shared" si="14"/>
        <v>17.8571428571429</v>
      </c>
      <c r="AG13" s="19">
        <f t="shared" si="14"/>
        <v>130</v>
      </c>
      <c r="AH13" s="19">
        <f t="shared" si="14"/>
        <v>28</v>
      </c>
      <c r="AI13" s="19">
        <f t="shared" si="14"/>
        <v>53088</v>
      </c>
      <c r="AJ13" s="19">
        <f t="shared" si="14"/>
        <v>1634.66428571429</v>
      </c>
      <c r="AK13" s="19">
        <f t="shared" si="14"/>
        <v>0</v>
      </c>
      <c r="AL13" s="19">
        <f t="shared" si="14"/>
        <v>125294.4</v>
      </c>
    </row>
    <row r="14" spans="31:38">
      <c r="AE14" s="35"/>
      <c r="AF14" s="35"/>
      <c r="AG14" s="35"/>
      <c r="AH14" s="35"/>
      <c r="AI14" s="35"/>
      <c r="AJ14" s="35"/>
      <c r="AK14" s="35"/>
      <c r="AL14" s="35"/>
    </row>
    <row r="15" spans="1:1">
      <c r="A15" s="3">
        <v>7</v>
      </c>
    </row>
    <row r="17" spans="1:1">
      <c r="A17" s="20" t="s">
        <v>501</v>
      </c>
    </row>
    <row r="18" spans="1:1">
      <c r="A18" s="21"/>
    </row>
    <row r="1048556" s="3" customFormat="1"/>
    <row r="1048557" s="3" customFormat="1"/>
    <row r="1048558" s="3" customFormat="1"/>
    <row r="1048559" s="3" customFormat="1"/>
    <row r="1048560" s="3" customFormat="1"/>
    <row r="1048561" s="3" customFormat="1"/>
    <row r="1048562" s="3" customFormat="1"/>
    <row r="1048563" s="3" customFormat="1"/>
    <row r="1048564" s="3" customFormat="1"/>
    <row r="1048565" s="3" customFormat="1"/>
    <row r="1048566" s="3" customFormat="1"/>
    <row r="1048567" s="3" customFormat="1"/>
    <row r="1048568" s="3" customFormat="1"/>
    <row r="1048569" s="3" customFormat="1"/>
    <row r="1048570" s="3" customFormat="1"/>
    <row r="1048571" s="3" customFormat="1"/>
    <row r="1048572" s="3" customFormat="1"/>
    <row r="1048573" s="3" customFormat="1"/>
    <row r="1048574" s="3" customFormat="1"/>
    <row r="1048575" s="3" customFormat="1"/>
    <row r="1048576" s="3" customFormat="1"/>
  </sheetData>
  <sheetProtection formatCells="0" insertHyperlinks="0" autoFilter="0"/>
  <mergeCells count="6">
    <mergeCell ref="A2:Y2"/>
    <mergeCell ref="Z2:AL2"/>
    <mergeCell ref="T3:W3"/>
    <mergeCell ref="AG3:AL3"/>
    <mergeCell ref="A12:B12"/>
    <mergeCell ref="A13:B13"/>
  </mergeCells>
  <printOptions horizontalCentered="1"/>
  <pageMargins left="0.751388888888889" right="0.751388888888889" top="1" bottom="1" header="0.5" footer="0.5"/>
  <pageSetup paperSize="9" scale="83" pageOrder="overThenDown" orientation="landscape" horizontalDpi="600"/>
  <headerFooter>
    <oddFooter>&amp;C第 &amp;P 页，共 &amp;N 页</oddFooter>
  </headerFooter>
  <colBreaks count="1" manualBreakCount="1">
    <brk id="23" max="1048575" man="1"/>
  </colBreaks>
  <ignoredErrors>
    <ignoredError sqref="R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showZeros="0" view="pageBreakPreview" zoomScaleNormal="100" zoomScaleSheetLayoutView="100" workbookViewId="0">
      <pane xSplit="4" ySplit="4" topLeftCell="E5" activePane="bottomRight" state="frozen"/>
      <selection/>
      <selection pane="topRight"/>
      <selection pane="bottomLeft"/>
      <selection pane="bottomRight" activeCell="C4" sqref="C4"/>
    </sheetView>
  </sheetViews>
  <sheetFormatPr defaultColWidth="8.88333333333333" defaultRowHeight="13.5"/>
  <cols>
    <col min="1" max="1" width="5.13333333333333" style="41" customWidth="1"/>
    <col min="2" max="2" width="8.89166666666667" style="41" customWidth="1"/>
    <col min="3" max="3" width="11.5583333333333" style="41" customWidth="1"/>
    <col min="4" max="4" width="7.13333333333333" style="41" customWidth="1"/>
    <col min="5" max="5" width="5.775" style="41" customWidth="1"/>
    <col min="6" max="6" width="9.38333333333333" style="41" customWidth="1"/>
    <col min="7" max="7" width="4" style="41" customWidth="1"/>
    <col min="8" max="8" width="10.25" style="41" customWidth="1"/>
    <col min="9" max="9" width="11" style="141" customWidth="1"/>
    <col min="10" max="10" width="8.89166666666667" style="141" customWidth="1"/>
    <col min="11" max="11" width="6.13333333333333" style="141" customWidth="1"/>
    <col min="12" max="12" width="5.5" style="141" customWidth="1"/>
    <col min="13" max="14" width="7.63333333333333" style="43" customWidth="1"/>
    <col min="15" max="15" width="7.63333333333333" style="142" customWidth="1"/>
    <col min="16" max="21" width="7.63333333333333" style="43" customWidth="1"/>
    <col min="22" max="22" width="7.55833333333333" style="143" customWidth="1"/>
    <col min="23" max="23" width="9.13333333333333" style="43" customWidth="1"/>
    <col min="24" max="27" width="7.63333333333333" style="43" customWidth="1"/>
    <col min="28" max="29" width="7.63333333333333" style="41" customWidth="1"/>
    <col min="30" max="30" width="10.1333333333333" style="41" customWidth="1"/>
    <col min="31" max="31" width="6.44166666666667" style="144" customWidth="1"/>
    <col min="32" max="32" width="6.775" style="144" customWidth="1"/>
    <col min="33" max="33" width="7.55833333333333" style="144" customWidth="1"/>
    <col min="34" max="34" width="8" style="144" customWidth="1"/>
    <col min="35" max="35" width="8.88333333333333" style="144" customWidth="1"/>
    <col min="36" max="36" width="9" style="144" customWidth="1"/>
    <col min="37" max="37" width="9.38333333333333" style="144" customWidth="1"/>
    <col min="38" max="38" width="11.75" style="41" customWidth="1"/>
    <col min="39" max="39" width="9.63333333333333" style="41"/>
    <col min="40" max="40" width="7.5" style="41" customWidth="1"/>
    <col min="41" max="41" width="7.75" style="41" customWidth="1"/>
    <col min="42" max="42" width="9.63333333333333" style="41"/>
    <col min="43" max="16384" width="8.88333333333333" style="41"/>
  </cols>
  <sheetData>
    <row r="1" spans="1:1">
      <c r="A1" s="5" t="s">
        <v>110</v>
      </c>
    </row>
    <row r="2" ht="42" customHeight="1" spans="1:38">
      <c r="A2" s="44" t="s">
        <v>111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 t="s">
        <v>111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="123" customFormat="1" ht="24.95" customHeight="1" spans="1:38">
      <c r="A3" s="145" t="s">
        <v>112</v>
      </c>
      <c r="B3" s="145"/>
      <c r="C3" s="145"/>
      <c r="D3" s="146"/>
      <c r="E3" s="146"/>
      <c r="F3" s="146"/>
      <c r="G3" s="146"/>
      <c r="H3" s="146"/>
      <c r="I3" s="157"/>
      <c r="J3" s="157"/>
      <c r="K3" s="157"/>
      <c r="L3" s="157"/>
      <c r="M3" s="158"/>
      <c r="N3" s="158"/>
      <c r="O3" s="69"/>
      <c r="P3" s="158"/>
      <c r="Q3" s="158"/>
      <c r="R3" s="158" t="s">
        <v>113</v>
      </c>
      <c r="S3" s="158"/>
      <c r="T3" s="158"/>
      <c r="U3" s="158"/>
      <c r="V3" s="7"/>
      <c r="W3" s="158"/>
      <c r="X3" s="158"/>
      <c r="Y3" s="158"/>
      <c r="Z3" s="158"/>
      <c r="AA3" s="158"/>
      <c r="AE3" s="164"/>
      <c r="AF3" s="164"/>
      <c r="AG3" s="164"/>
      <c r="AH3" s="164"/>
      <c r="AI3" s="164"/>
      <c r="AJ3" s="165" t="s">
        <v>113</v>
      </c>
      <c r="AK3" s="165"/>
      <c r="AL3" s="165"/>
    </row>
    <row r="4" s="138" customFormat="1" ht="39" customHeight="1" spans="1:38">
      <c r="A4" s="11" t="s">
        <v>114</v>
      </c>
      <c r="B4" s="11" t="s">
        <v>115</v>
      </c>
      <c r="C4" s="147" t="s">
        <v>116</v>
      </c>
      <c r="D4" s="11" t="s">
        <v>117</v>
      </c>
      <c r="E4" s="11" t="s">
        <v>118</v>
      </c>
      <c r="F4" s="11" t="s">
        <v>119</v>
      </c>
      <c r="G4" s="11" t="s">
        <v>120</v>
      </c>
      <c r="H4" s="11" t="s">
        <v>121</v>
      </c>
      <c r="I4" s="11" t="s">
        <v>122</v>
      </c>
      <c r="J4" s="11" t="s">
        <v>123</v>
      </c>
      <c r="K4" s="11" t="s">
        <v>124</v>
      </c>
      <c r="L4" s="11" t="s">
        <v>125</v>
      </c>
      <c r="M4" s="28" t="s">
        <v>126</v>
      </c>
      <c r="N4" s="28" t="s">
        <v>127</v>
      </c>
      <c r="O4" s="22" t="s">
        <v>128</v>
      </c>
      <c r="P4" s="117" t="s">
        <v>129</v>
      </c>
      <c r="Q4" s="28" t="s">
        <v>130</v>
      </c>
      <c r="R4" s="28" t="s">
        <v>131</v>
      </c>
      <c r="S4" s="28" t="s">
        <v>132</v>
      </c>
      <c r="T4" s="161" t="s">
        <v>133</v>
      </c>
      <c r="U4" s="28" t="s">
        <v>134</v>
      </c>
      <c r="V4" s="162" t="s">
        <v>135</v>
      </c>
      <c r="W4" s="28" t="s">
        <v>136</v>
      </c>
      <c r="X4" s="28" t="s">
        <v>137</v>
      </c>
      <c r="Y4" s="28" t="s">
        <v>138</v>
      </c>
      <c r="Z4" s="29" t="s">
        <v>139</v>
      </c>
      <c r="AA4" s="29" t="s">
        <v>140</v>
      </c>
      <c r="AB4" s="28" t="s">
        <v>141</v>
      </c>
      <c r="AC4" s="28" t="s">
        <v>142</v>
      </c>
      <c r="AD4" s="9" t="s">
        <v>122</v>
      </c>
      <c r="AE4" s="24" t="s">
        <v>143</v>
      </c>
      <c r="AF4" s="9" t="s">
        <v>144</v>
      </c>
      <c r="AG4" s="24" t="s">
        <v>145</v>
      </c>
      <c r="AH4" s="24" t="s">
        <v>146</v>
      </c>
      <c r="AI4" s="24" t="s">
        <v>147</v>
      </c>
      <c r="AJ4" s="24" t="s">
        <v>148</v>
      </c>
      <c r="AK4" s="24" t="s">
        <v>149</v>
      </c>
      <c r="AL4" s="9" t="s">
        <v>150</v>
      </c>
    </row>
    <row r="5" s="139" customFormat="1" ht="24.95" customHeight="1" spans="1:40">
      <c r="A5" s="148">
        <v>1</v>
      </c>
      <c r="B5" s="149" t="s">
        <v>151</v>
      </c>
      <c r="C5" s="150">
        <v>511921001416</v>
      </c>
      <c r="D5" s="151" t="s">
        <v>152</v>
      </c>
      <c r="E5" s="151" t="s">
        <v>153</v>
      </c>
      <c r="F5" s="13">
        <v>43787</v>
      </c>
      <c r="G5" s="152">
        <v>9</v>
      </c>
      <c r="H5" s="151" t="s">
        <v>154</v>
      </c>
      <c r="I5" s="159" t="s">
        <v>155</v>
      </c>
      <c r="J5" s="160">
        <v>800</v>
      </c>
      <c r="K5" s="14">
        <v>23</v>
      </c>
      <c r="L5" s="14">
        <v>7</v>
      </c>
      <c r="M5" s="14">
        <v>108900</v>
      </c>
      <c r="N5" s="14">
        <v>9637.17</v>
      </c>
      <c r="O5" s="14">
        <f t="shared" ref="O5:O12" si="0">ROUND((M5+N5)*0.97/L5,2)</f>
        <v>16425.86</v>
      </c>
      <c r="P5" s="14">
        <f t="shared" ref="P5:P12" si="1">J5*$A$23</f>
        <v>9600</v>
      </c>
      <c r="Q5" s="14">
        <f t="shared" ref="Q5:Q12" si="2">4500*12</f>
        <v>54000</v>
      </c>
      <c r="R5" s="14">
        <v>8198.4</v>
      </c>
      <c r="S5" s="14">
        <f>1880+300+1298+3258+1296</f>
        <v>8032</v>
      </c>
      <c r="T5" s="14">
        <f>AI5*0.12*7.5*1.2</f>
        <v>83462.4</v>
      </c>
      <c r="U5" s="14">
        <v>360</v>
      </c>
      <c r="V5" s="14">
        <f>680</f>
        <v>680</v>
      </c>
      <c r="W5" s="14">
        <f>371*4+1000</f>
        <v>2484</v>
      </c>
      <c r="X5" s="14">
        <v>3210</v>
      </c>
      <c r="Y5" s="14">
        <v>8000</v>
      </c>
      <c r="Z5" s="14">
        <f t="shared" ref="Z5:Z12" si="3">80*12</f>
        <v>960</v>
      </c>
      <c r="AA5" s="14">
        <v>40</v>
      </c>
      <c r="AB5" s="14">
        <f t="shared" ref="AB5:AB12" si="4">SUM(O5:AA5)</f>
        <v>195452.66</v>
      </c>
      <c r="AC5" s="14">
        <f>(G5-1)*AG5*12*通江农村客运车辆成本信息核定表!$C$8</f>
        <v>13440</v>
      </c>
      <c r="AD5" s="159" t="s">
        <v>155</v>
      </c>
      <c r="AE5" s="14">
        <v>23</v>
      </c>
      <c r="AF5" s="14">
        <v>8</v>
      </c>
      <c r="AG5" s="14">
        <f>AH5*2*5</f>
        <v>280</v>
      </c>
      <c r="AH5" s="14">
        <v>28</v>
      </c>
      <c r="AI5" s="14">
        <f t="shared" ref="AI5:AI12" si="5">AE5*AG5*12</f>
        <v>77280</v>
      </c>
      <c r="AJ5" s="14">
        <v>1645</v>
      </c>
      <c r="AK5" s="14">
        <v>7200</v>
      </c>
      <c r="AL5" s="14">
        <f>AF5*AC5</f>
        <v>107520</v>
      </c>
      <c r="AN5" s="166"/>
    </row>
    <row r="6" s="139" customFormat="1" ht="24.95" customHeight="1" spans="1:40">
      <c r="A6" s="148">
        <v>2</v>
      </c>
      <c r="B6" s="149" t="s">
        <v>156</v>
      </c>
      <c r="C6" s="153" t="s">
        <v>157</v>
      </c>
      <c r="D6" s="151" t="s">
        <v>158</v>
      </c>
      <c r="E6" s="151" t="s">
        <v>159</v>
      </c>
      <c r="F6" s="13">
        <v>43998</v>
      </c>
      <c r="G6" s="152">
        <v>19</v>
      </c>
      <c r="H6" s="151" t="s">
        <v>160</v>
      </c>
      <c r="I6" s="159" t="s">
        <v>161</v>
      </c>
      <c r="J6" s="160">
        <v>1300</v>
      </c>
      <c r="K6" s="14">
        <v>29</v>
      </c>
      <c r="L6" s="14">
        <v>7</v>
      </c>
      <c r="M6" s="14">
        <v>157000</v>
      </c>
      <c r="N6" s="14">
        <v>13893.81</v>
      </c>
      <c r="O6" s="14">
        <f t="shared" si="0"/>
        <v>23681</v>
      </c>
      <c r="P6" s="14">
        <f t="shared" si="1"/>
        <v>15600</v>
      </c>
      <c r="Q6" s="14">
        <f t="shared" si="2"/>
        <v>54000</v>
      </c>
      <c r="R6" s="14">
        <v>8198.4</v>
      </c>
      <c r="S6" s="14">
        <f>2358+480+2531+6878+2888</f>
        <v>15135</v>
      </c>
      <c r="T6" s="14">
        <f>$AI$6*0.16*7.5*1.2</f>
        <v>56125.44</v>
      </c>
      <c r="U6" s="14">
        <v>360</v>
      </c>
      <c r="V6" s="14">
        <f>680</f>
        <v>680</v>
      </c>
      <c r="W6" s="14">
        <f>490*4+1000</f>
        <v>2960</v>
      </c>
      <c r="X6" s="14">
        <v>4000</v>
      </c>
      <c r="Y6" s="14">
        <v>10500</v>
      </c>
      <c r="Z6" s="14">
        <f t="shared" si="3"/>
        <v>960</v>
      </c>
      <c r="AA6" s="14">
        <v>40</v>
      </c>
      <c r="AB6" s="14">
        <f t="shared" si="4"/>
        <v>192239.84</v>
      </c>
      <c r="AC6" s="14">
        <f>(G6-1)*AG6*12*通江农村客运车辆成本信息核定表!$C$8</f>
        <v>12096</v>
      </c>
      <c r="AD6" s="159" t="s">
        <v>161</v>
      </c>
      <c r="AE6" s="14">
        <v>29</v>
      </c>
      <c r="AF6" s="14">
        <v>12</v>
      </c>
      <c r="AG6" s="14">
        <f t="shared" ref="AG5:AG13" si="6">AH6*2*2</f>
        <v>112</v>
      </c>
      <c r="AH6" s="14">
        <v>28</v>
      </c>
      <c r="AI6" s="14">
        <f t="shared" si="5"/>
        <v>38976</v>
      </c>
      <c r="AJ6" s="14">
        <v>1834</v>
      </c>
      <c r="AK6" s="14">
        <v>8568</v>
      </c>
      <c r="AL6" s="14">
        <f t="shared" ref="AL5:AL14" si="7">AF6*AC6</f>
        <v>145152</v>
      </c>
      <c r="AN6" s="166"/>
    </row>
    <row r="7" s="139" customFormat="1" ht="24.95" customHeight="1" spans="1:40">
      <c r="A7" s="148">
        <v>3</v>
      </c>
      <c r="B7" s="149" t="s">
        <v>162</v>
      </c>
      <c r="C7" s="153" t="s">
        <v>163</v>
      </c>
      <c r="D7" s="151" t="s">
        <v>164</v>
      </c>
      <c r="E7" s="151" t="s">
        <v>165</v>
      </c>
      <c r="F7" s="13">
        <v>43284</v>
      </c>
      <c r="G7" s="152">
        <v>11</v>
      </c>
      <c r="H7" s="151" t="s">
        <v>166</v>
      </c>
      <c r="I7" s="159" t="s">
        <v>167</v>
      </c>
      <c r="J7" s="160">
        <v>1000</v>
      </c>
      <c r="K7" s="14">
        <v>43</v>
      </c>
      <c r="L7" s="14">
        <v>7</v>
      </c>
      <c r="M7" s="14">
        <v>112000</v>
      </c>
      <c r="N7" s="14">
        <v>9655.17</v>
      </c>
      <c r="O7" s="14">
        <f t="shared" si="0"/>
        <v>16857.93</v>
      </c>
      <c r="P7" s="14">
        <f t="shared" si="1"/>
        <v>12000</v>
      </c>
      <c r="Q7" s="14">
        <f t="shared" si="2"/>
        <v>54000</v>
      </c>
      <c r="R7" s="14">
        <v>8198.4</v>
      </c>
      <c r="S7" s="14">
        <f>1834+480+1898.08+3982+1584</f>
        <v>9778.08</v>
      </c>
      <c r="T7" s="14">
        <f>AI7*0.14*7.5*1.2</f>
        <v>109226.88</v>
      </c>
      <c r="U7" s="14">
        <v>360</v>
      </c>
      <c r="V7" s="14">
        <v>850</v>
      </c>
      <c r="W7" s="14">
        <f t="shared" ref="W7:W12" si="8">371*4+1000</f>
        <v>2484</v>
      </c>
      <c r="X7" s="14">
        <v>3210</v>
      </c>
      <c r="Y7" s="14">
        <v>8200</v>
      </c>
      <c r="Z7" s="14">
        <f t="shared" si="3"/>
        <v>960</v>
      </c>
      <c r="AA7" s="14">
        <v>40</v>
      </c>
      <c r="AB7" s="14">
        <f t="shared" si="4"/>
        <v>226165.29</v>
      </c>
      <c r="AC7" s="14">
        <f>(G7-1)*AG7*12*通江农村客运车辆成本信息核定表!$C$8</f>
        <v>10080</v>
      </c>
      <c r="AD7" s="159" t="s">
        <v>167</v>
      </c>
      <c r="AE7" s="14">
        <v>43</v>
      </c>
      <c r="AF7" s="14">
        <v>14</v>
      </c>
      <c r="AG7" s="14">
        <f>AH7*2*3</f>
        <v>168</v>
      </c>
      <c r="AH7" s="14">
        <v>28</v>
      </c>
      <c r="AI7" s="14">
        <f t="shared" si="5"/>
        <v>86688</v>
      </c>
      <c r="AJ7" s="14">
        <v>1834</v>
      </c>
      <c r="AK7" s="14">
        <v>7200</v>
      </c>
      <c r="AL7" s="14">
        <f t="shared" si="7"/>
        <v>141120</v>
      </c>
      <c r="AN7" s="166"/>
    </row>
    <row r="8" s="139" customFormat="1" ht="24.95" customHeight="1" spans="1:40">
      <c r="A8" s="148">
        <v>4</v>
      </c>
      <c r="B8" s="151" t="s">
        <v>168</v>
      </c>
      <c r="C8" s="153" t="s">
        <v>169</v>
      </c>
      <c r="D8" s="149" t="s">
        <v>170</v>
      </c>
      <c r="E8" s="151" t="s">
        <v>171</v>
      </c>
      <c r="F8" s="13">
        <v>43714</v>
      </c>
      <c r="G8" s="152">
        <v>11</v>
      </c>
      <c r="H8" s="151" t="s">
        <v>166</v>
      </c>
      <c r="I8" s="159" t="s">
        <v>167</v>
      </c>
      <c r="J8" s="160">
        <v>1000</v>
      </c>
      <c r="K8" s="14">
        <v>43</v>
      </c>
      <c r="L8" s="14">
        <v>7</v>
      </c>
      <c r="M8" s="14">
        <v>147000</v>
      </c>
      <c r="N8" s="14">
        <v>13008.85</v>
      </c>
      <c r="O8" s="14">
        <f t="shared" si="0"/>
        <v>22172.65</v>
      </c>
      <c r="P8" s="14">
        <f t="shared" si="1"/>
        <v>12000</v>
      </c>
      <c r="Q8" s="14">
        <f t="shared" si="2"/>
        <v>54000</v>
      </c>
      <c r="R8" s="14">
        <v>8198.4</v>
      </c>
      <c r="S8" s="14">
        <f>2096+480+2214.43+3982</f>
        <v>8772.43</v>
      </c>
      <c r="T8" s="14">
        <f>AI8*0.14*7.5*1.2</f>
        <v>109226.88</v>
      </c>
      <c r="U8" s="14">
        <v>360</v>
      </c>
      <c r="V8" s="14">
        <v>850</v>
      </c>
      <c r="W8" s="14">
        <f t="shared" si="8"/>
        <v>2484</v>
      </c>
      <c r="X8" s="14">
        <v>3210</v>
      </c>
      <c r="Y8" s="14">
        <v>8200</v>
      </c>
      <c r="Z8" s="14">
        <f t="shared" si="3"/>
        <v>960</v>
      </c>
      <c r="AA8" s="14">
        <v>40</v>
      </c>
      <c r="AB8" s="14">
        <f t="shared" si="4"/>
        <v>230474.36</v>
      </c>
      <c r="AC8" s="14">
        <f>(G8-1)*AG8*12*通江农村客运车辆成本信息核定表!$C$8</f>
        <v>10080</v>
      </c>
      <c r="AD8" s="159" t="s">
        <v>167</v>
      </c>
      <c r="AE8" s="14">
        <v>43</v>
      </c>
      <c r="AF8" s="14">
        <v>14</v>
      </c>
      <c r="AG8" s="14">
        <f>AH8*2*3</f>
        <v>168</v>
      </c>
      <c r="AH8" s="14">
        <v>28</v>
      </c>
      <c r="AI8" s="14">
        <f t="shared" si="5"/>
        <v>86688</v>
      </c>
      <c r="AJ8" s="14">
        <v>1834</v>
      </c>
      <c r="AK8" s="14">
        <v>7200</v>
      </c>
      <c r="AL8" s="14">
        <f t="shared" si="7"/>
        <v>141120</v>
      </c>
      <c r="AN8" s="166"/>
    </row>
    <row r="9" s="139" customFormat="1" ht="24.95" customHeight="1" spans="1:40">
      <c r="A9" s="148">
        <v>5</v>
      </c>
      <c r="B9" s="149" t="s">
        <v>172</v>
      </c>
      <c r="C9" s="150">
        <v>511921000243</v>
      </c>
      <c r="D9" s="151" t="s">
        <v>173</v>
      </c>
      <c r="E9" s="151" t="s">
        <v>171</v>
      </c>
      <c r="F9" s="13">
        <v>43997</v>
      </c>
      <c r="G9" s="152">
        <v>14</v>
      </c>
      <c r="H9" s="151" t="s">
        <v>174</v>
      </c>
      <c r="I9" s="159" t="s">
        <v>175</v>
      </c>
      <c r="J9" s="160">
        <v>1100</v>
      </c>
      <c r="K9" s="14">
        <v>47</v>
      </c>
      <c r="L9" s="14">
        <v>7</v>
      </c>
      <c r="M9" s="14">
        <v>175000</v>
      </c>
      <c r="N9" s="14">
        <v>15486.73</v>
      </c>
      <c r="O9" s="14">
        <f t="shared" si="0"/>
        <v>26396.02</v>
      </c>
      <c r="P9" s="14">
        <f t="shared" si="1"/>
        <v>13200</v>
      </c>
      <c r="Q9" s="14">
        <f t="shared" si="2"/>
        <v>54000</v>
      </c>
      <c r="R9" s="14">
        <v>8198.4</v>
      </c>
      <c r="S9" s="14">
        <f>2358+480+2530.77+5068+2128</f>
        <v>12564.77</v>
      </c>
      <c r="T9" s="14">
        <f>AI9*0.16*7.5*1.2</f>
        <v>90961.92</v>
      </c>
      <c r="U9" s="14">
        <v>360</v>
      </c>
      <c r="V9" s="14">
        <v>850</v>
      </c>
      <c r="W9" s="14">
        <f t="shared" si="8"/>
        <v>2484</v>
      </c>
      <c r="X9" s="14">
        <v>3500</v>
      </c>
      <c r="Y9" s="14">
        <v>8500</v>
      </c>
      <c r="Z9" s="14">
        <f t="shared" si="3"/>
        <v>960</v>
      </c>
      <c r="AA9" s="14">
        <v>40</v>
      </c>
      <c r="AB9" s="14">
        <f t="shared" si="4"/>
        <v>222015.11</v>
      </c>
      <c r="AC9" s="14">
        <f>(G9-1)*AG9*12*通江农村客运车辆成本信息核定表!$C$8</f>
        <v>8736</v>
      </c>
      <c r="AD9" s="159" t="s">
        <v>175</v>
      </c>
      <c r="AE9" s="14">
        <v>47</v>
      </c>
      <c r="AF9" s="14">
        <v>17</v>
      </c>
      <c r="AG9" s="14">
        <f t="shared" si="6"/>
        <v>112</v>
      </c>
      <c r="AH9" s="14">
        <v>28</v>
      </c>
      <c r="AI9" s="14">
        <f t="shared" si="5"/>
        <v>63168</v>
      </c>
      <c r="AJ9" s="14">
        <v>1834</v>
      </c>
      <c r="AK9" s="14">
        <v>7200</v>
      </c>
      <c r="AL9" s="14">
        <f t="shared" si="7"/>
        <v>148512</v>
      </c>
      <c r="AN9" s="166"/>
    </row>
    <row r="10" s="139" customFormat="1" ht="24.95" customHeight="1" spans="1:40">
      <c r="A10" s="148">
        <v>6</v>
      </c>
      <c r="B10" s="149" t="s">
        <v>176</v>
      </c>
      <c r="C10" s="153" t="s">
        <v>177</v>
      </c>
      <c r="D10" s="149" t="s">
        <v>178</v>
      </c>
      <c r="E10" s="151" t="s">
        <v>179</v>
      </c>
      <c r="F10" s="13">
        <v>42631</v>
      </c>
      <c r="G10" s="152">
        <v>14</v>
      </c>
      <c r="H10" s="151" t="s">
        <v>174</v>
      </c>
      <c r="I10" s="159" t="s">
        <v>180</v>
      </c>
      <c r="J10" s="160">
        <v>1100</v>
      </c>
      <c r="K10" s="14">
        <v>47</v>
      </c>
      <c r="L10" s="14">
        <v>7</v>
      </c>
      <c r="M10" s="14">
        <v>94800</v>
      </c>
      <c r="N10" s="14">
        <v>8102.56</v>
      </c>
      <c r="O10" s="14">
        <f t="shared" si="0"/>
        <v>14259.35</v>
      </c>
      <c r="P10" s="14">
        <f t="shared" si="1"/>
        <v>13200</v>
      </c>
      <c r="Q10" s="14">
        <f t="shared" si="2"/>
        <v>54000</v>
      </c>
      <c r="R10" s="14">
        <v>8198.4</v>
      </c>
      <c r="S10" s="14">
        <f>2620+480+2214.43+5068.15+2016</f>
        <v>12398.58</v>
      </c>
      <c r="T10" s="14">
        <f>AI10*0.12*7.5*1.2</f>
        <v>68221.44</v>
      </c>
      <c r="U10" s="14">
        <v>360</v>
      </c>
      <c r="V10" s="14">
        <v>850</v>
      </c>
      <c r="W10" s="14">
        <f t="shared" si="8"/>
        <v>2484</v>
      </c>
      <c r="X10" s="14">
        <v>3500</v>
      </c>
      <c r="Y10" s="14">
        <v>8500</v>
      </c>
      <c r="Z10" s="14">
        <f t="shared" si="3"/>
        <v>960</v>
      </c>
      <c r="AA10" s="14">
        <v>40</v>
      </c>
      <c r="AB10" s="14">
        <f t="shared" si="4"/>
        <v>186971.77</v>
      </c>
      <c r="AC10" s="14">
        <f>(G10-1)*AG10*12*通江农村客运车辆成本信息核定表!$C$8</f>
        <v>8736</v>
      </c>
      <c r="AD10" s="159" t="s">
        <v>180</v>
      </c>
      <c r="AE10" s="14">
        <v>47</v>
      </c>
      <c r="AF10" s="14">
        <v>17</v>
      </c>
      <c r="AG10" s="14">
        <f t="shared" si="6"/>
        <v>112</v>
      </c>
      <c r="AH10" s="14">
        <v>28</v>
      </c>
      <c r="AI10" s="14">
        <f t="shared" si="5"/>
        <v>63168</v>
      </c>
      <c r="AJ10" s="14">
        <v>1834</v>
      </c>
      <c r="AK10" s="14">
        <v>7200</v>
      </c>
      <c r="AL10" s="14">
        <f t="shared" si="7"/>
        <v>148512</v>
      </c>
      <c r="AN10" s="166"/>
    </row>
    <row r="11" s="139" customFormat="1" ht="24.95" customHeight="1" spans="1:40">
      <c r="A11" s="148">
        <v>7</v>
      </c>
      <c r="B11" s="149" t="s">
        <v>181</v>
      </c>
      <c r="C11" s="153" t="s">
        <v>182</v>
      </c>
      <c r="D11" s="151" t="s">
        <v>183</v>
      </c>
      <c r="E11" s="151" t="s">
        <v>184</v>
      </c>
      <c r="F11" s="13">
        <v>44089</v>
      </c>
      <c r="G11" s="152">
        <v>14</v>
      </c>
      <c r="H11" s="151" t="s">
        <v>174</v>
      </c>
      <c r="I11" s="159" t="s">
        <v>180</v>
      </c>
      <c r="J11" s="160">
        <v>1100</v>
      </c>
      <c r="K11" s="14">
        <v>47</v>
      </c>
      <c r="L11" s="14">
        <v>7</v>
      </c>
      <c r="M11" s="14">
        <v>161000</v>
      </c>
      <c r="N11" s="14">
        <v>14247.79</v>
      </c>
      <c r="O11" s="14">
        <f t="shared" si="0"/>
        <v>24284.34</v>
      </c>
      <c r="P11" s="14">
        <f t="shared" si="1"/>
        <v>13200</v>
      </c>
      <c r="Q11" s="14">
        <f t="shared" si="2"/>
        <v>54000</v>
      </c>
      <c r="R11" s="14">
        <v>8198.4</v>
      </c>
      <c r="S11" s="14">
        <f>2358+240+2531+5068+2016</f>
        <v>12213</v>
      </c>
      <c r="T11" s="14">
        <f>AI11*0.14*7.5*1.2</f>
        <v>79591.68</v>
      </c>
      <c r="U11" s="14">
        <v>360</v>
      </c>
      <c r="V11" s="14">
        <v>850</v>
      </c>
      <c r="W11" s="14">
        <f t="shared" si="8"/>
        <v>2484</v>
      </c>
      <c r="X11" s="14">
        <v>3500</v>
      </c>
      <c r="Y11" s="14">
        <v>8500</v>
      </c>
      <c r="Z11" s="14">
        <f t="shared" si="3"/>
        <v>960</v>
      </c>
      <c r="AA11" s="14">
        <v>40</v>
      </c>
      <c r="AB11" s="14">
        <f t="shared" si="4"/>
        <v>208181.42</v>
      </c>
      <c r="AC11" s="14">
        <f>(G11-1)*AG11*12*通江农村客运车辆成本信息核定表!$C$8</f>
        <v>8736</v>
      </c>
      <c r="AD11" s="159" t="s">
        <v>180</v>
      </c>
      <c r="AE11" s="14">
        <v>47</v>
      </c>
      <c r="AF11" s="14">
        <v>17</v>
      </c>
      <c r="AG11" s="14">
        <f t="shared" si="6"/>
        <v>112</v>
      </c>
      <c r="AH11" s="14">
        <v>28</v>
      </c>
      <c r="AI11" s="14">
        <f t="shared" si="5"/>
        <v>63168</v>
      </c>
      <c r="AJ11" s="14">
        <v>1834</v>
      </c>
      <c r="AK11" s="14">
        <v>7200</v>
      </c>
      <c r="AL11" s="14">
        <f t="shared" si="7"/>
        <v>148512</v>
      </c>
      <c r="AN11" s="166"/>
    </row>
    <row r="12" s="139" customFormat="1" ht="24.95" customHeight="1" spans="1:40">
      <c r="A12" s="148">
        <v>8</v>
      </c>
      <c r="B12" s="151" t="s">
        <v>185</v>
      </c>
      <c r="C12" s="153" t="s">
        <v>186</v>
      </c>
      <c r="D12" s="151" t="s">
        <v>187</v>
      </c>
      <c r="E12" s="151" t="s">
        <v>188</v>
      </c>
      <c r="F12" s="13">
        <v>44132</v>
      </c>
      <c r="G12" s="152">
        <v>14</v>
      </c>
      <c r="H12" s="151" t="s">
        <v>174</v>
      </c>
      <c r="I12" s="159" t="s">
        <v>189</v>
      </c>
      <c r="J12" s="160">
        <v>1100</v>
      </c>
      <c r="K12" s="14">
        <v>47</v>
      </c>
      <c r="L12" s="14">
        <v>7</v>
      </c>
      <c r="M12" s="14">
        <v>118000</v>
      </c>
      <c r="N12" s="14">
        <v>10442.48</v>
      </c>
      <c r="O12" s="14">
        <f t="shared" si="0"/>
        <v>17798.46</v>
      </c>
      <c r="P12" s="14">
        <f t="shared" si="1"/>
        <v>13200</v>
      </c>
      <c r="Q12" s="14">
        <f t="shared" si="2"/>
        <v>54000</v>
      </c>
      <c r="R12" s="14">
        <v>8198.4</v>
      </c>
      <c r="S12" s="14">
        <f>2358+480+2530.77+5068.15+2128</f>
        <v>12564.92</v>
      </c>
      <c r="T12" s="14">
        <f>AI12*0.14*7.5*1.2</f>
        <v>79591.68</v>
      </c>
      <c r="U12" s="14">
        <v>360</v>
      </c>
      <c r="V12" s="14">
        <v>850</v>
      </c>
      <c r="W12" s="14">
        <f t="shared" si="8"/>
        <v>2484</v>
      </c>
      <c r="X12" s="14">
        <v>3500</v>
      </c>
      <c r="Y12" s="14">
        <v>8500</v>
      </c>
      <c r="Z12" s="14">
        <f t="shared" si="3"/>
        <v>960</v>
      </c>
      <c r="AA12" s="14">
        <v>40</v>
      </c>
      <c r="AB12" s="14">
        <f t="shared" si="4"/>
        <v>202047.46</v>
      </c>
      <c r="AC12" s="14">
        <f>(G12-1)*AG12*12*通江农村客运车辆成本信息核定表!$C$8</f>
        <v>8736</v>
      </c>
      <c r="AD12" s="159" t="s">
        <v>189</v>
      </c>
      <c r="AE12" s="14">
        <v>47</v>
      </c>
      <c r="AF12" s="14">
        <v>17</v>
      </c>
      <c r="AG12" s="14">
        <f t="shared" si="6"/>
        <v>112</v>
      </c>
      <c r="AH12" s="14">
        <v>28</v>
      </c>
      <c r="AI12" s="14">
        <f t="shared" si="5"/>
        <v>63168</v>
      </c>
      <c r="AJ12" s="14">
        <v>1834</v>
      </c>
      <c r="AK12" s="14">
        <v>7200</v>
      </c>
      <c r="AL12" s="14">
        <f t="shared" si="7"/>
        <v>148512</v>
      </c>
      <c r="AN12" s="166"/>
    </row>
    <row r="13" s="139" customFormat="1" ht="24.95" customHeight="1" spans="1:40">
      <c r="A13" s="148">
        <v>9</v>
      </c>
      <c r="B13" s="149" t="s">
        <v>190</v>
      </c>
      <c r="C13" s="150" t="s">
        <v>191</v>
      </c>
      <c r="D13" s="151" t="s">
        <v>192</v>
      </c>
      <c r="E13" s="151" t="s">
        <v>193</v>
      </c>
      <c r="F13" s="168">
        <v>44021</v>
      </c>
      <c r="G13" s="152">
        <v>9</v>
      </c>
      <c r="H13" s="151" t="s">
        <v>194</v>
      </c>
      <c r="I13" s="159" t="s">
        <v>195</v>
      </c>
      <c r="J13" s="160">
        <v>800</v>
      </c>
      <c r="K13" s="14">
        <v>55</v>
      </c>
      <c r="L13" s="14">
        <v>7</v>
      </c>
      <c r="M13" s="14">
        <v>85000</v>
      </c>
      <c r="N13" s="14">
        <v>7522.12</v>
      </c>
      <c r="O13" s="14">
        <f t="shared" ref="O13:O18" si="9">ROUND((M13+N13)*0.97/L13,2)</f>
        <v>12820.92</v>
      </c>
      <c r="P13" s="14">
        <f t="shared" ref="P13:P18" si="10">J13*$A$23</f>
        <v>9600</v>
      </c>
      <c r="Q13" s="14">
        <f t="shared" ref="Q13:Q18" si="11">4500*12</f>
        <v>54000</v>
      </c>
      <c r="R13" s="14">
        <v>8198.4</v>
      </c>
      <c r="S13" s="14">
        <f>2115+300+1484+3258+1368</f>
        <v>8525</v>
      </c>
      <c r="T13" s="14">
        <f>AI13*0.12*7.5*1.2</f>
        <v>79833.6</v>
      </c>
      <c r="U13" s="14">
        <v>360</v>
      </c>
      <c r="V13" s="14">
        <f>680</f>
        <v>680</v>
      </c>
      <c r="W13" s="14">
        <v>2484</v>
      </c>
      <c r="X13" s="14">
        <v>3210</v>
      </c>
      <c r="Y13" s="14">
        <v>8000</v>
      </c>
      <c r="Z13" s="14">
        <f t="shared" ref="Z13:Z18" si="12">80*12</f>
        <v>960</v>
      </c>
      <c r="AA13" s="14">
        <v>40</v>
      </c>
      <c r="AB13" s="14">
        <f t="shared" ref="AB13:AB18" si="13">SUM(O13:AA13)</f>
        <v>188711.92</v>
      </c>
      <c r="AC13" s="14">
        <f>(G13-1)*AG13*12*通江农村客运车辆成本信息核定表!$C$8</f>
        <v>5376</v>
      </c>
      <c r="AD13" s="159" t="s">
        <v>195</v>
      </c>
      <c r="AE13" s="14">
        <v>55</v>
      </c>
      <c r="AF13" s="14">
        <v>14</v>
      </c>
      <c r="AG13" s="14">
        <f t="shared" si="6"/>
        <v>112</v>
      </c>
      <c r="AH13" s="14">
        <v>28</v>
      </c>
      <c r="AI13" s="14">
        <f t="shared" ref="AI13:AI18" si="14">AE13*AG13*12</f>
        <v>73920</v>
      </c>
      <c r="AJ13" s="14">
        <v>1645</v>
      </c>
      <c r="AK13" s="14">
        <v>7200</v>
      </c>
      <c r="AL13" s="14">
        <f t="shared" si="7"/>
        <v>75264</v>
      </c>
      <c r="AN13" s="166"/>
    </row>
    <row r="14" s="139" customFormat="1" ht="24.95" customHeight="1" spans="1:40">
      <c r="A14" s="148">
        <v>10</v>
      </c>
      <c r="B14" s="149" t="s">
        <v>196</v>
      </c>
      <c r="C14" s="153" t="s">
        <v>197</v>
      </c>
      <c r="D14" s="149" t="s">
        <v>198</v>
      </c>
      <c r="E14" s="151" t="s">
        <v>153</v>
      </c>
      <c r="F14" s="13">
        <v>43599</v>
      </c>
      <c r="G14" s="152">
        <v>19</v>
      </c>
      <c r="H14" s="151" t="s">
        <v>174</v>
      </c>
      <c r="I14" s="159" t="s">
        <v>199</v>
      </c>
      <c r="J14" s="160">
        <v>1300</v>
      </c>
      <c r="K14" s="14">
        <v>63</v>
      </c>
      <c r="L14" s="14">
        <v>7</v>
      </c>
      <c r="M14" s="14">
        <v>140000</v>
      </c>
      <c r="N14" s="14">
        <v>13200</v>
      </c>
      <c r="O14" s="14">
        <f t="shared" si="9"/>
        <v>21229.14</v>
      </c>
      <c r="P14" s="14">
        <f t="shared" si="10"/>
        <v>15600</v>
      </c>
      <c r="Q14" s="14">
        <f t="shared" si="11"/>
        <v>54000</v>
      </c>
      <c r="R14" s="14">
        <v>8198.4</v>
      </c>
      <c r="S14" s="14">
        <f>2096+480+3185.97+6878+2736</f>
        <v>15375.97</v>
      </c>
      <c r="T14" s="14">
        <f>AI14*0.16*7.5*1.2</f>
        <v>60963.84</v>
      </c>
      <c r="U14" s="14">
        <v>360</v>
      </c>
      <c r="V14" s="14">
        <v>850</v>
      </c>
      <c r="W14" s="14">
        <f>490*4+1000</f>
        <v>2960</v>
      </c>
      <c r="X14" s="14">
        <v>4000</v>
      </c>
      <c r="Y14" s="14">
        <v>10500</v>
      </c>
      <c r="Z14" s="14">
        <f t="shared" si="12"/>
        <v>960</v>
      </c>
      <c r="AA14" s="14">
        <v>40</v>
      </c>
      <c r="AB14" s="14">
        <f t="shared" si="13"/>
        <v>195037.35</v>
      </c>
      <c r="AC14" s="14">
        <f>(G14-1)*AG14*12*通江农村客运车辆成本信息核定表!$C$8</f>
        <v>6048</v>
      </c>
      <c r="AD14" s="159" t="s">
        <v>199</v>
      </c>
      <c r="AE14" s="14">
        <v>63</v>
      </c>
      <c r="AF14" s="14">
        <v>22</v>
      </c>
      <c r="AG14" s="14">
        <f>AH14*2*1</f>
        <v>56</v>
      </c>
      <c r="AH14" s="14">
        <v>28</v>
      </c>
      <c r="AI14" s="14">
        <f t="shared" si="14"/>
        <v>42336</v>
      </c>
      <c r="AJ14" s="14">
        <v>1834</v>
      </c>
      <c r="AK14" s="14">
        <v>8568</v>
      </c>
      <c r="AL14" s="14">
        <f t="shared" si="7"/>
        <v>133056</v>
      </c>
      <c r="AN14" s="166"/>
    </row>
    <row r="15" s="139" customFormat="1" ht="24.95" customHeight="1" spans="1:40">
      <c r="A15" s="148">
        <v>11</v>
      </c>
      <c r="B15" s="149" t="s">
        <v>200</v>
      </c>
      <c r="C15" s="150">
        <v>511921001438</v>
      </c>
      <c r="D15" s="151" t="s">
        <v>201</v>
      </c>
      <c r="E15" s="151" t="s">
        <v>165</v>
      </c>
      <c r="F15" s="13">
        <v>43410</v>
      </c>
      <c r="G15" s="152">
        <v>9</v>
      </c>
      <c r="H15" s="151" t="s">
        <v>194</v>
      </c>
      <c r="I15" s="159" t="s">
        <v>202</v>
      </c>
      <c r="J15" s="160">
        <v>800</v>
      </c>
      <c r="K15" s="14">
        <v>40</v>
      </c>
      <c r="L15" s="14">
        <v>7</v>
      </c>
      <c r="M15" s="14">
        <v>95800</v>
      </c>
      <c r="N15" s="14">
        <v>8258.62</v>
      </c>
      <c r="O15" s="14">
        <f t="shared" si="9"/>
        <v>14419.55</v>
      </c>
      <c r="P15" s="14">
        <f t="shared" si="10"/>
        <v>9600</v>
      </c>
      <c r="Q15" s="14">
        <f t="shared" si="11"/>
        <v>54000</v>
      </c>
      <c r="R15" s="14">
        <v>8198.4</v>
      </c>
      <c r="S15" s="14">
        <f>1645+720+1112.42+3257.98+1296</f>
        <v>8031.4</v>
      </c>
      <c r="T15" s="14">
        <f>AI15*0.12*7.5*1.2</f>
        <v>87091.2</v>
      </c>
      <c r="U15" s="14">
        <v>360</v>
      </c>
      <c r="V15" s="14">
        <f>680</f>
        <v>680</v>
      </c>
      <c r="W15" s="14">
        <v>2484</v>
      </c>
      <c r="X15" s="14">
        <v>3210</v>
      </c>
      <c r="Y15" s="14">
        <v>8000</v>
      </c>
      <c r="Z15" s="14">
        <f t="shared" si="12"/>
        <v>960</v>
      </c>
      <c r="AA15" s="14">
        <v>40</v>
      </c>
      <c r="AB15" s="14">
        <f t="shared" si="13"/>
        <v>197074.55</v>
      </c>
      <c r="AC15" s="14">
        <f>(G15-1)*AG15*12*通江农村客运车辆成本信息核定表!$C$8</f>
        <v>8064</v>
      </c>
      <c r="AD15" s="159" t="s">
        <v>202</v>
      </c>
      <c r="AE15" s="14">
        <v>40</v>
      </c>
      <c r="AF15" s="14">
        <v>13</v>
      </c>
      <c r="AG15" s="14">
        <f>AH15*2*3</f>
        <v>168</v>
      </c>
      <c r="AH15" s="14">
        <v>28</v>
      </c>
      <c r="AI15" s="14">
        <f t="shared" si="14"/>
        <v>80640</v>
      </c>
      <c r="AJ15" s="14">
        <v>1645</v>
      </c>
      <c r="AK15" s="14">
        <v>7200</v>
      </c>
      <c r="AL15" s="14">
        <f t="shared" ref="AL13:AL18" si="15">AF15*AC15</f>
        <v>104832</v>
      </c>
      <c r="AN15" s="166"/>
    </row>
    <row r="16" s="139" customFormat="1" ht="24.95" customHeight="1" spans="1:40">
      <c r="A16" s="148">
        <v>12</v>
      </c>
      <c r="B16" s="149" t="s">
        <v>203</v>
      </c>
      <c r="C16" s="153" t="s">
        <v>204</v>
      </c>
      <c r="D16" s="149" t="s">
        <v>205</v>
      </c>
      <c r="E16" s="151" t="s">
        <v>165</v>
      </c>
      <c r="F16" s="13">
        <v>43579</v>
      </c>
      <c r="G16" s="152">
        <v>14</v>
      </c>
      <c r="H16" s="151" t="s">
        <v>174</v>
      </c>
      <c r="I16" s="159" t="s">
        <v>206</v>
      </c>
      <c r="J16" s="160">
        <v>1100</v>
      </c>
      <c r="K16" s="14">
        <v>90</v>
      </c>
      <c r="L16" s="14">
        <v>7</v>
      </c>
      <c r="M16" s="14">
        <v>116000</v>
      </c>
      <c r="N16" s="14">
        <v>10265.49</v>
      </c>
      <c r="O16" s="14">
        <f t="shared" si="9"/>
        <v>17496.79</v>
      </c>
      <c r="P16" s="14">
        <f t="shared" si="10"/>
        <v>13200</v>
      </c>
      <c r="Q16" s="14">
        <f t="shared" si="11"/>
        <v>54000</v>
      </c>
      <c r="R16" s="14">
        <v>8198.4</v>
      </c>
      <c r="S16" s="14">
        <f>2096+480+3372.34+5068.15+2016</f>
        <v>13032.49</v>
      </c>
      <c r="T16" s="14">
        <f>AI16*0.14*7.5*1.2</f>
        <v>76204.8</v>
      </c>
      <c r="U16" s="14">
        <v>360</v>
      </c>
      <c r="V16" s="14">
        <v>850</v>
      </c>
      <c r="W16" s="14">
        <f>371*4+1000</f>
        <v>2484</v>
      </c>
      <c r="X16" s="14">
        <v>3500</v>
      </c>
      <c r="Y16" s="14">
        <v>8500</v>
      </c>
      <c r="Z16" s="14">
        <f t="shared" si="12"/>
        <v>960</v>
      </c>
      <c r="AA16" s="14">
        <v>40</v>
      </c>
      <c r="AB16" s="14">
        <f t="shared" si="13"/>
        <v>198826.48</v>
      </c>
      <c r="AC16" s="14">
        <f>(G16-1)*AG16*12*通江农村客运车辆成本信息核定表!$C$8</f>
        <v>4368</v>
      </c>
      <c r="AD16" s="159" t="s">
        <v>206</v>
      </c>
      <c r="AE16" s="14">
        <v>90</v>
      </c>
      <c r="AF16" s="14">
        <v>31</v>
      </c>
      <c r="AG16" s="14">
        <f>AH16*2*1</f>
        <v>56</v>
      </c>
      <c r="AH16" s="14">
        <v>28</v>
      </c>
      <c r="AI16" s="14">
        <f t="shared" si="14"/>
        <v>60480</v>
      </c>
      <c r="AJ16" s="14">
        <v>1834</v>
      </c>
      <c r="AK16" s="14">
        <v>7200</v>
      </c>
      <c r="AL16" s="14">
        <f t="shared" si="15"/>
        <v>135408</v>
      </c>
      <c r="AN16" s="166"/>
    </row>
    <row r="17" s="139" customFormat="1" ht="24.95" customHeight="1" spans="1:40">
      <c r="A17" s="148">
        <v>13</v>
      </c>
      <c r="B17" s="148" t="s">
        <v>207</v>
      </c>
      <c r="C17" s="172" t="s">
        <v>208</v>
      </c>
      <c r="D17" s="148" t="s">
        <v>209</v>
      </c>
      <c r="E17" s="148" t="s">
        <v>210</v>
      </c>
      <c r="F17" s="169">
        <v>44214</v>
      </c>
      <c r="G17" s="152">
        <v>14</v>
      </c>
      <c r="H17" s="151" t="s">
        <v>174</v>
      </c>
      <c r="I17" s="180" t="s">
        <v>211</v>
      </c>
      <c r="J17" s="160">
        <v>1100</v>
      </c>
      <c r="K17" s="14">
        <v>28</v>
      </c>
      <c r="L17" s="14">
        <v>7</v>
      </c>
      <c r="M17" s="14">
        <v>110000</v>
      </c>
      <c r="N17" s="14">
        <v>9734.51</v>
      </c>
      <c r="O17" s="14">
        <f t="shared" si="9"/>
        <v>16591.78</v>
      </c>
      <c r="P17" s="14">
        <f t="shared" si="10"/>
        <v>13200</v>
      </c>
      <c r="Q17" s="14">
        <f t="shared" si="11"/>
        <v>54000</v>
      </c>
      <c r="R17" s="14">
        <v>8198.4</v>
      </c>
      <c r="S17" s="14">
        <f>2358+480+2531+5068+2128</f>
        <v>12565</v>
      </c>
      <c r="T17" s="14">
        <f>AI17*0.14*7.5*1.2</f>
        <v>94832.64</v>
      </c>
      <c r="U17" s="14">
        <v>360</v>
      </c>
      <c r="V17" s="14">
        <v>850</v>
      </c>
      <c r="W17" s="14">
        <f>371*4+1000</f>
        <v>2484</v>
      </c>
      <c r="X17" s="14">
        <v>3500</v>
      </c>
      <c r="Y17" s="14">
        <v>8500</v>
      </c>
      <c r="Z17" s="14">
        <f t="shared" si="12"/>
        <v>960</v>
      </c>
      <c r="AA17" s="14">
        <v>40</v>
      </c>
      <c r="AB17" s="14">
        <f t="shared" si="13"/>
        <v>216081.82</v>
      </c>
      <c r="AC17" s="14">
        <f>(G17-1)*AG17*12*通江农村客运车辆成本信息核定表!$C$8</f>
        <v>17472</v>
      </c>
      <c r="AD17" s="180" t="s">
        <v>211</v>
      </c>
      <c r="AE17" s="14">
        <v>28</v>
      </c>
      <c r="AF17" s="14">
        <v>11</v>
      </c>
      <c r="AG17" s="14">
        <f>AH17*2*4</f>
        <v>224</v>
      </c>
      <c r="AH17" s="14">
        <v>28</v>
      </c>
      <c r="AI17" s="14">
        <f t="shared" si="14"/>
        <v>75264</v>
      </c>
      <c r="AJ17" s="14">
        <v>1834</v>
      </c>
      <c r="AK17" s="14">
        <v>7200</v>
      </c>
      <c r="AL17" s="14">
        <f t="shared" si="15"/>
        <v>192192</v>
      </c>
      <c r="AN17" s="166"/>
    </row>
    <row r="18" s="139" customFormat="1" ht="24.95" customHeight="1" spans="1:40">
      <c r="A18" s="148">
        <v>14</v>
      </c>
      <c r="B18" s="151" t="s">
        <v>212</v>
      </c>
      <c r="C18" s="150">
        <v>511921000028</v>
      </c>
      <c r="D18" s="148" t="s">
        <v>213</v>
      </c>
      <c r="E18" s="148" t="s">
        <v>214</v>
      </c>
      <c r="F18" s="169">
        <v>43966</v>
      </c>
      <c r="G18" s="152">
        <v>9</v>
      </c>
      <c r="H18" s="151" t="s">
        <v>194</v>
      </c>
      <c r="I18" s="159" t="s">
        <v>215</v>
      </c>
      <c r="J18" s="160">
        <v>800</v>
      </c>
      <c r="K18" s="14">
        <v>39</v>
      </c>
      <c r="L18" s="14">
        <v>7</v>
      </c>
      <c r="M18" s="14">
        <v>99300</v>
      </c>
      <c r="N18" s="14">
        <v>8787.61</v>
      </c>
      <c r="O18" s="14">
        <f t="shared" si="9"/>
        <v>14977.85</v>
      </c>
      <c r="P18" s="14">
        <f t="shared" si="10"/>
        <v>9600</v>
      </c>
      <c r="Q18" s="14">
        <f t="shared" si="11"/>
        <v>54000</v>
      </c>
      <c r="R18" s="14">
        <v>8198.4</v>
      </c>
      <c r="S18" s="14">
        <f>2115+360+1483.23+3258+1363</f>
        <v>8579.23</v>
      </c>
      <c r="T18" s="14">
        <f>AI18*0.12*7.5*1.2</f>
        <v>56609.28</v>
      </c>
      <c r="U18" s="14">
        <v>360</v>
      </c>
      <c r="V18" s="14">
        <f>680</f>
        <v>680</v>
      </c>
      <c r="W18" s="14">
        <v>2484</v>
      </c>
      <c r="X18" s="14">
        <v>3210</v>
      </c>
      <c r="Y18" s="14">
        <v>8000</v>
      </c>
      <c r="Z18" s="14">
        <f t="shared" si="12"/>
        <v>960</v>
      </c>
      <c r="AA18" s="14">
        <v>40</v>
      </c>
      <c r="AB18" s="14">
        <f t="shared" si="13"/>
        <v>167698.76</v>
      </c>
      <c r="AC18" s="14">
        <f>(G18-1)*AG18*12*通江农村客运车辆成本信息核定表!$C$8</f>
        <v>5376</v>
      </c>
      <c r="AD18" s="159" t="s">
        <v>215</v>
      </c>
      <c r="AE18" s="14">
        <v>39</v>
      </c>
      <c r="AF18" s="14">
        <v>14</v>
      </c>
      <c r="AG18" s="14">
        <f>AH18*2*2</f>
        <v>112</v>
      </c>
      <c r="AH18" s="14">
        <v>28</v>
      </c>
      <c r="AI18" s="14">
        <f t="shared" si="14"/>
        <v>52416</v>
      </c>
      <c r="AJ18" s="14">
        <v>1645</v>
      </c>
      <c r="AK18" s="14">
        <v>7200</v>
      </c>
      <c r="AL18" s="14">
        <f t="shared" si="15"/>
        <v>75264</v>
      </c>
      <c r="AN18" s="166"/>
    </row>
    <row r="19" s="140" customFormat="1" ht="24.95" customHeight="1" spans="1:41">
      <c r="A19" s="106" t="s">
        <v>216</v>
      </c>
      <c r="B19" s="107"/>
      <c r="C19" s="154"/>
      <c r="D19" s="154"/>
      <c r="E19" s="154"/>
      <c r="F19" s="154"/>
      <c r="G19" s="62">
        <f>SUM(G5:G18)</f>
        <v>180</v>
      </c>
      <c r="H19" s="155"/>
      <c r="I19" s="155"/>
      <c r="J19" s="19">
        <f>SUM(J5:J18)</f>
        <v>14400</v>
      </c>
      <c r="K19" s="19">
        <f>SUM(K5:K18)</f>
        <v>641</v>
      </c>
      <c r="L19" s="19">
        <f>SUM(L5:L18)</f>
        <v>98</v>
      </c>
      <c r="M19" s="19">
        <f>SUM(M9:M18)</f>
        <v>1194900</v>
      </c>
      <c r="N19" s="19">
        <f>SUM(N9:N18)</f>
        <v>106047.91</v>
      </c>
      <c r="O19" s="19">
        <f t="shared" ref="O19:AC19" si="16">SUM(O5:O18)</f>
        <v>259411.64</v>
      </c>
      <c r="P19" s="19">
        <f t="shared" si="16"/>
        <v>172800</v>
      </c>
      <c r="Q19" s="19">
        <f t="shared" si="16"/>
        <v>756000</v>
      </c>
      <c r="R19" s="19">
        <f t="shared" si="16"/>
        <v>114777.6</v>
      </c>
      <c r="S19" s="19">
        <f t="shared" si="16"/>
        <v>157567.87</v>
      </c>
      <c r="T19" s="19">
        <f t="shared" si="16"/>
        <v>1131943.68</v>
      </c>
      <c r="U19" s="19">
        <f t="shared" si="16"/>
        <v>5040</v>
      </c>
      <c r="V19" s="19">
        <f t="shared" si="16"/>
        <v>11050</v>
      </c>
      <c r="W19" s="19">
        <f t="shared" si="16"/>
        <v>35728</v>
      </c>
      <c r="X19" s="19">
        <f t="shared" si="16"/>
        <v>48260</v>
      </c>
      <c r="Y19" s="19">
        <f t="shared" si="16"/>
        <v>120400</v>
      </c>
      <c r="Z19" s="19">
        <f t="shared" si="16"/>
        <v>13440</v>
      </c>
      <c r="AA19" s="19">
        <f t="shared" si="16"/>
        <v>560</v>
      </c>
      <c r="AB19" s="19">
        <f t="shared" si="16"/>
        <v>2826978.79</v>
      </c>
      <c r="AC19" s="19">
        <f t="shared" si="16"/>
        <v>127344</v>
      </c>
      <c r="AD19" s="33" t="s">
        <v>216</v>
      </c>
      <c r="AE19" s="19">
        <f t="shared" ref="AE19:AL19" si="17">SUM(AE5:AE18)</f>
        <v>641</v>
      </c>
      <c r="AF19" s="19">
        <f t="shared" si="17"/>
        <v>221</v>
      </c>
      <c r="AG19" s="19">
        <f t="shared" si="17"/>
        <v>1904</v>
      </c>
      <c r="AH19" s="19">
        <f t="shared" si="17"/>
        <v>392</v>
      </c>
      <c r="AI19" s="19">
        <f t="shared" si="17"/>
        <v>927360</v>
      </c>
      <c r="AJ19" s="19">
        <f t="shared" si="17"/>
        <v>24920</v>
      </c>
      <c r="AK19" s="19">
        <f t="shared" si="17"/>
        <v>103536</v>
      </c>
      <c r="AL19" s="19">
        <f t="shared" si="17"/>
        <v>1844976</v>
      </c>
      <c r="AO19" s="167"/>
    </row>
    <row r="20" s="171" customFormat="1" ht="24.95" customHeight="1" spans="1:41">
      <c r="A20" s="18" t="s">
        <v>217</v>
      </c>
      <c r="B20" s="16"/>
      <c r="C20" s="173"/>
      <c r="D20" s="173"/>
      <c r="E20" s="173"/>
      <c r="F20" s="173"/>
      <c r="G20" s="174">
        <f>ROUND(G19/$A$18,2)</f>
        <v>12.86</v>
      </c>
      <c r="H20" s="175"/>
      <c r="I20" s="175"/>
      <c r="J20" s="181">
        <f>ROUND(J19/$A$18,2)</f>
        <v>1028.57</v>
      </c>
      <c r="K20" s="181">
        <f>ROUND(K19/$A$18,2)</f>
        <v>45.79</v>
      </c>
      <c r="L20" s="181">
        <f t="shared" ref="J20:O20" si="18">ROUND(L19/$A$18,2)</f>
        <v>7</v>
      </c>
      <c r="M20" s="181">
        <f>ROUND(M19/$A$18,2)</f>
        <v>85350</v>
      </c>
      <c r="N20" s="181">
        <f t="shared" si="18"/>
        <v>7574.85</v>
      </c>
      <c r="O20" s="181">
        <f t="shared" si="18"/>
        <v>18529.4</v>
      </c>
      <c r="P20" s="181">
        <f>J20*$A$23</f>
        <v>12342.84</v>
      </c>
      <c r="Q20" s="181">
        <f t="shared" ref="Q20:AA20" si="19">ROUND(Q19/$A$18,2)</f>
        <v>54000</v>
      </c>
      <c r="R20" s="181">
        <f t="shared" si="19"/>
        <v>8198.4</v>
      </c>
      <c r="S20" s="181">
        <f t="shared" si="19"/>
        <v>11254.85</v>
      </c>
      <c r="T20" s="181">
        <f t="shared" si="19"/>
        <v>80853.12</v>
      </c>
      <c r="U20" s="181">
        <f t="shared" si="19"/>
        <v>360</v>
      </c>
      <c r="V20" s="181">
        <f t="shared" si="19"/>
        <v>789.29</v>
      </c>
      <c r="W20" s="181">
        <f t="shared" si="19"/>
        <v>2552</v>
      </c>
      <c r="X20" s="181">
        <f t="shared" si="19"/>
        <v>3447.14</v>
      </c>
      <c r="Y20" s="181">
        <f t="shared" si="19"/>
        <v>8600</v>
      </c>
      <c r="Z20" s="181">
        <f t="shared" si="19"/>
        <v>960</v>
      </c>
      <c r="AA20" s="181">
        <f t="shared" si="19"/>
        <v>40</v>
      </c>
      <c r="AB20" s="181">
        <f>SUM(O20:AA20)</f>
        <v>201927.04</v>
      </c>
      <c r="AC20" s="181">
        <f>ROUND(AC19/$A$18,0)</f>
        <v>9096</v>
      </c>
      <c r="AD20" s="183" t="s">
        <v>217</v>
      </c>
      <c r="AE20" s="181">
        <f>ROUND(AE19/$A$18,2)</f>
        <v>45.79</v>
      </c>
      <c r="AF20" s="181">
        <f>ROUND(AF19/$A$18,2)</f>
        <v>15.79</v>
      </c>
      <c r="AG20" s="181">
        <f>ROUND(AG19/$A$18,2)</f>
        <v>136</v>
      </c>
      <c r="AH20" s="181">
        <f>ROUND(AH19/$A$18,2)</f>
        <v>28</v>
      </c>
      <c r="AI20" s="181">
        <f>ROUND(AI19/$A$18,2)</f>
        <v>66240</v>
      </c>
      <c r="AJ20" s="181">
        <f>ROUND(AJ19/$A$18,2)</f>
        <v>1780</v>
      </c>
      <c r="AK20" s="181">
        <f>ROUND(AK19/$A$18,2)</f>
        <v>7395.43</v>
      </c>
      <c r="AL20" s="181">
        <f>ROUND(AL19/$A$18,2)</f>
        <v>131784</v>
      </c>
      <c r="AO20" s="171">
        <f>AC20*AF20</f>
        <v>143625.84</v>
      </c>
    </row>
    <row r="21" s="171" customFormat="1" ht="24.95" customHeight="1" spans="1:38">
      <c r="A21" s="176"/>
      <c r="B21" s="177"/>
      <c r="G21" s="178"/>
      <c r="H21" s="179"/>
      <c r="I21" s="179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4"/>
      <c r="AE21" s="182"/>
      <c r="AF21" s="182"/>
      <c r="AG21" s="182"/>
      <c r="AH21" s="182"/>
      <c r="AI21" s="182"/>
      <c r="AJ21" s="182"/>
      <c r="AK21" s="182"/>
      <c r="AL21" s="182"/>
    </row>
    <row r="22" spans="35:38">
      <c r="AI22" s="186"/>
      <c r="AJ22" s="186"/>
      <c r="AK22" s="186"/>
      <c r="AL22" s="187"/>
    </row>
    <row r="23" spans="1:38">
      <c r="A23" s="41">
        <v>12</v>
      </c>
      <c r="B23" s="41">
        <v>5.5</v>
      </c>
      <c r="C23" s="41">
        <v>0.6</v>
      </c>
      <c r="D23" s="41">
        <v>1.1</v>
      </c>
      <c r="X23" s="163"/>
      <c r="Y23" s="163"/>
      <c r="AB23" s="43"/>
      <c r="AC23" s="43"/>
      <c r="AL23" s="144"/>
    </row>
    <row r="24" spans="29:38">
      <c r="AC24" s="43"/>
      <c r="AL24" s="43"/>
    </row>
    <row r="25" spans="28:33">
      <c r="AB25" s="43"/>
      <c r="AG25" s="188"/>
    </row>
    <row r="27" spans="31:31">
      <c r="AE27" s="185"/>
    </row>
    <row r="28" spans="31:31">
      <c r="AE28" s="185"/>
    </row>
  </sheetData>
  <sheetProtection formatCells="0" insertHyperlinks="0" autoFilter="0"/>
  <mergeCells count="5">
    <mergeCell ref="A2:W2"/>
    <mergeCell ref="X2:AL2"/>
    <mergeCell ref="AJ3:AL3"/>
    <mergeCell ref="A19:B19"/>
    <mergeCell ref="A20:B20"/>
  </mergeCells>
  <pageMargins left="0.550694444444444" right="0.511805555555556" top="0.802777777777778" bottom="0.802777777777778" header="0.5" footer="0.5"/>
  <pageSetup paperSize="9" scale="76" fitToHeight="0" pageOrder="overThenDown" orientation="landscape" horizontalDpi="600"/>
  <headerFooter>
    <oddFooter>&amp;C第 &amp;P 页，共 &amp;N 页</oddFooter>
  </headerFooter>
  <colBreaks count="1" manualBreakCount="1">
    <brk id="23" max="19" man="1"/>
  </colBreaks>
  <ignoredErrors>
    <ignoredError sqref="A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"/>
  <sheetViews>
    <sheetView showZeros="0" tabSelected="1" view="pageBreakPreview" zoomScaleNormal="100" zoomScaleSheetLayoutView="100" workbookViewId="0">
      <pane xSplit="4" ySplit="4" topLeftCell="T5" activePane="bottomRight" state="frozen"/>
      <selection/>
      <selection pane="topRight"/>
      <selection pane="bottomLeft"/>
      <selection pane="bottomRight" activeCell="T11" sqref="T11"/>
    </sheetView>
  </sheetViews>
  <sheetFormatPr defaultColWidth="8.88333333333333" defaultRowHeight="13.5"/>
  <cols>
    <col min="1" max="1" width="4.33333333333333" style="41" customWidth="1"/>
    <col min="2" max="2" width="7.5" style="41" customWidth="1"/>
    <col min="3" max="3" width="12.6666666666667" style="41" customWidth="1"/>
    <col min="4" max="4" width="7.13333333333333" style="41" customWidth="1"/>
    <col min="5" max="5" width="6.88333333333333" style="41" customWidth="1"/>
    <col min="6" max="6" width="9.38333333333333" style="41" customWidth="1"/>
    <col min="7" max="7" width="4" style="41" customWidth="1"/>
    <col min="8" max="8" width="10.25" style="41" customWidth="1"/>
    <col min="9" max="9" width="11" style="141" customWidth="1"/>
    <col min="10" max="10" width="7.38333333333333" style="141" customWidth="1"/>
    <col min="11" max="11" width="6.13333333333333" style="141" customWidth="1"/>
    <col min="12" max="12" width="5.5" style="141" customWidth="1"/>
    <col min="13" max="14" width="7.63333333333333" style="43" customWidth="1"/>
    <col min="15" max="15" width="7.63333333333333" style="142" customWidth="1"/>
    <col min="16" max="20" width="7.63333333333333" style="43" customWidth="1"/>
    <col min="21" max="21" width="7.13333333333333" style="43" customWidth="1"/>
    <col min="22" max="22" width="9" style="143" customWidth="1"/>
    <col min="23" max="23" width="8.38333333333333" style="43" customWidth="1"/>
    <col min="24" max="27" width="7.63333333333333" style="43" customWidth="1"/>
    <col min="28" max="29" width="7.63333333333333" style="41" customWidth="1"/>
    <col min="30" max="30" width="10.1333333333333" style="41" customWidth="1"/>
    <col min="31" max="32" width="7.63333333333333" style="144" customWidth="1"/>
    <col min="33" max="35" width="8.88333333333333" style="144" customWidth="1"/>
    <col min="36" max="36" width="9" style="144" customWidth="1"/>
    <col min="37" max="37" width="9.38333333333333" style="144" customWidth="1"/>
    <col min="38" max="38" width="10.5" style="41" customWidth="1"/>
    <col min="39" max="39" width="8.88333333333333" style="41"/>
    <col min="40" max="40" width="12.125" style="41" customWidth="1"/>
    <col min="41" max="41" width="7.75" style="41" customWidth="1"/>
    <col min="42" max="16384" width="8.88333333333333" style="41"/>
  </cols>
  <sheetData>
    <row r="1" spans="1:1">
      <c r="A1" s="5" t="s">
        <v>218</v>
      </c>
    </row>
    <row r="2" ht="37" customHeight="1" spans="1:38">
      <c r="A2" s="44" t="s">
        <v>219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 t="s">
        <v>219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="123" customFormat="1" ht="24.95" customHeight="1" spans="1:38">
      <c r="A3" s="145" t="s">
        <v>112</v>
      </c>
      <c r="B3" s="145"/>
      <c r="C3" s="145"/>
      <c r="D3" s="146"/>
      <c r="E3" s="146"/>
      <c r="F3" s="146"/>
      <c r="G3" s="146"/>
      <c r="H3" s="146"/>
      <c r="I3" s="157"/>
      <c r="J3" s="157"/>
      <c r="K3" s="157"/>
      <c r="L3" s="157"/>
      <c r="M3" s="158"/>
      <c r="N3" s="158"/>
      <c r="O3" s="69"/>
      <c r="P3" s="158"/>
      <c r="Q3" s="158"/>
      <c r="R3" s="158"/>
      <c r="S3" s="158"/>
      <c r="T3" s="158"/>
      <c r="U3" s="170" t="s">
        <v>113</v>
      </c>
      <c r="V3" s="170"/>
      <c r="W3" s="170"/>
      <c r="X3" s="158"/>
      <c r="Y3" s="158"/>
      <c r="Z3" s="158"/>
      <c r="AA3" s="158"/>
      <c r="AE3" s="164"/>
      <c r="AF3" s="164"/>
      <c r="AG3" s="164"/>
      <c r="AH3" s="164"/>
      <c r="AI3" s="164"/>
      <c r="AJ3" s="165" t="s">
        <v>113</v>
      </c>
      <c r="AK3" s="165"/>
      <c r="AL3" s="165"/>
    </row>
    <row r="4" s="138" customFormat="1" ht="39" customHeight="1" spans="1:38">
      <c r="A4" s="11" t="s">
        <v>114</v>
      </c>
      <c r="B4" s="11" t="s">
        <v>115</v>
      </c>
      <c r="C4" s="147" t="s">
        <v>116</v>
      </c>
      <c r="D4" s="11" t="s">
        <v>117</v>
      </c>
      <c r="E4" s="11" t="s">
        <v>118</v>
      </c>
      <c r="F4" s="11" t="s">
        <v>119</v>
      </c>
      <c r="G4" s="11" t="s">
        <v>120</v>
      </c>
      <c r="H4" s="11" t="s">
        <v>121</v>
      </c>
      <c r="I4" s="11" t="s">
        <v>122</v>
      </c>
      <c r="J4" s="11" t="s">
        <v>123</v>
      </c>
      <c r="K4" s="11" t="s">
        <v>124</v>
      </c>
      <c r="L4" s="11" t="s">
        <v>125</v>
      </c>
      <c r="M4" s="28" t="s">
        <v>126</v>
      </c>
      <c r="N4" s="28" t="s">
        <v>127</v>
      </c>
      <c r="O4" s="22" t="s">
        <v>128</v>
      </c>
      <c r="P4" s="117" t="s">
        <v>129</v>
      </c>
      <c r="Q4" s="28" t="s">
        <v>130</v>
      </c>
      <c r="R4" s="28" t="s">
        <v>131</v>
      </c>
      <c r="S4" s="28" t="s">
        <v>132</v>
      </c>
      <c r="T4" s="161" t="s">
        <v>133</v>
      </c>
      <c r="U4" s="28" t="s">
        <v>134</v>
      </c>
      <c r="V4" s="162" t="s">
        <v>135</v>
      </c>
      <c r="W4" s="28" t="s">
        <v>136</v>
      </c>
      <c r="X4" s="28" t="s">
        <v>137</v>
      </c>
      <c r="Y4" s="28" t="s">
        <v>138</v>
      </c>
      <c r="Z4" s="29" t="s">
        <v>139</v>
      </c>
      <c r="AA4" s="29" t="s">
        <v>140</v>
      </c>
      <c r="AB4" s="28" t="s">
        <v>141</v>
      </c>
      <c r="AC4" s="28" t="s">
        <v>142</v>
      </c>
      <c r="AD4" s="9" t="s">
        <v>122</v>
      </c>
      <c r="AE4" s="24" t="s">
        <v>143</v>
      </c>
      <c r="AF4" s="9" t="s">
        <v>144</v>
      </c>
      <c r="AG4" s="24" t="s">
        <v>145</v>
      </c>
      <c r="AH4" s="24" t="s">
        <v>146</v>
      </c>
      <c r="AI4" s="24" t="s">
        <v>147</v>
      </c>
      <c r="AJ4" s="24" t="s">
        <v>148</v>
      </c>
      <c r="AK4" s="24" t="s">
        <v>149</v>
      </c>
      <c r="AL4" s="24" t="s">
        <v>150</v>
      </c>
    </row>
    <row r="5" s="139" customFormat="1" ht="24.95" customHeight="1" spans="1:40">
      <c r="A5" s="148">
        <v>1</v>
      </c>
      <c r="B5" s="149" t="s">
        <v>151</v>
      </c>
      <c r="C5" s="150">
        <v>511921001416</v>
      </c>
      <c r="D5" s="151" t="s">
        <v>152</v>
      </c>
      <c r="E5" s="151" t="s">
        <v>153</v>
      </c>
      <c r="F5" s="13">
        <v>43787</v>
      </c>
      <c r="G5" s="152">
        <v>9</v>
      </c>
      <c r="H5" s="151" t="s">
        <v>154</v>
      </c>
      <c r="I5" s="159" t="s">
        <v>155</v>
      </c>
      <c r="J5" s="14">
        <v>800</v>
      </c>
      <c r="K5" s="14">
        <v>23</v>
      </c>
      <c r="L5" s="14">
        <v>7</v>
      </c>
      <c r="M5" s="14">
        <v>108900</v>
      </c>
      <c r="N5" s="14">
        <v>9637.17</v>
      </c>
      <c r="O5" s="14">
        <f>ROUND((M5+N5)*0.97/L5,2)</f>
        <v>16425.86</v>
      </c>
      <c r="P5" s="14">
        <f t="shared" ref="P5:P17" si="0">J5*$A$21</f>
        <v>8000</v>
      </c>
      <c r="Q5" s="14">
        <f>4500*10</f>
        <v>45000</v>
      </c>
      <c r="R5" s="14">
        <v>6472.8</v>
      </c>
      <c r="S5" s="14">
        <v>8032</v>
      </c>
      <c r="T5" s="14">
        <f>ROUND(AI5*0.12*6.08*1.2,2)</f>
        <v>62021.84</v>
      </c>
      <c r="U5" s="14">
        <v>360</v>
      </c>
      <c r="V5" s="14">
        <f>680</f>
        <v>680</v>
      </c>
      <c r="W5" s="14">
        <f>371*4+1000</f>
        <v>2484</v>
      </c>
      <c r="X5" s="14">
        <v>3210</v>
      </c>
      <c r="Y5" s="14">
        <v>8000</v>
      </c>
      <c r="Z5" s="14">
        <f>80*12</f>
        <v>960</v>
      </c>
      <c r="AA5" s="14">
        <v>40</v>
      </c>
      <c r="AB5" s="14">
        <f t="shared" ref="AB5:AB17" si="1">SUM(O5:AA5)</f>
        <v>161686.5</v>
      </c>
      <c r="AC5" s="78">
        <f>ROUND((G5-1)*AG5*11*通江农村客运车辆成本信息核定表!$D$8,0)</f>
        <v>11827</v>
      </c>
      <c r="AD5" s="159" t="s">
        <v>155</v>
      </c>
      <c r="AE5" s="14">
        <v>23</v>
      </c>
      <c r="AF5" s="14">
        <v>8</v>
      </c>
      <c r="AG5" s="14">
        <f>AH5*2*5</f>
        <v>280</v>
      </c>
      <c r="AH5" s="14">
        <v>28</v>
      </c>
      <c r="AI5" s="14">
        <f>AE5*AG5*11</f>
        <v>70840</v>
      </c>
      <c r="AJ5" s="14"/>
      <c r="AK5" s="14"/>
      <c r="AL5" s="78">
        <f>AF5*AC5</f>
        <v>94616</v>
      </c>
      <c r="AN5" s="166"/>
    </row>
    <row r="6" s="139" customFormat="1" ht="24.95" customHeight="1" spans="1:40">
      <c r="A6" s="148">
        <v>2</v>
      </c>
      <c r="B6" s="149" t="s">
        <v>156</v>
      </c>
      <c r="C6" s="153" t="s">
        <v>157</v>
      </c>
      <c r="D6" s="151" t="s">
        <v>158</v>
      </c>
      <c r="E6" s="151" t="s">
        <v>159</v>
      </c>
      <c r="F6" s="13">
        <v>43998</v>
      </c>
      <c r="G6" s="152">
        <v>19</v>
      </c>
      <c r="H6" s="151" t="s">
        <v>160</v>
      </c>
      <c r="I6" s="159" t="s">
        <v>161</v>
      </c>
      <c r="J6" s="14">
        <v>1300</v>
      </c>
      <c r="K6" s="14">
        <v>29</v>
      </c>
      <c r="L6" s="14">
        <v>7</v>
      </c>
      <c r="M6" s="14">
        <v>157000</v>
      </c>
      <c r="N6" s="14">
        <v>13893.81</v>
      </c>
      <c r="O6" s="14">
        <f t="shared" ref="O5:O17" si="2">ROUND((M6+N6)*0.97/L6,2)</f>
        <v>23681</v>
      </c>
      <c r="P6" s="14">
        <f t="shared" si="0"/>
        <v>13000</v>
      </c>
      <c r="Q6" s="14">
        <f t="shared" ref="Q6:Q17" si="3">4500*10</f>
        <v>45000</v>
      </c>
      <c r="R6" s="14">
        <v>6472.8</v>
      </c>
      <c r="S6" s="14">
        <v>15135</v>
      </c>
      <c r="T6" s="14">
        <f t="shared" ref="T6:T17" si="4">ROUND(AI6*0.12*6.08*1.2,2)</f>
        <v>46920.87</v>
      </c>
      <c r="U6" s="14">
        <v>360</v>
      </c>
      <c r="V6" s="14">
        <f>680</f>
        <v>680</v>
      </c>
      <c r="W6" s="14">
        <f>490*4+1000</f>
        <v>2960</v>
      </c>
      <c r="X6" s="14">
        <v>4000</v>
      </c>
      <c r="Y6" s="14">
        <v>10500</v>
      </c>
      <c r="Z6" s="14">
        <f t="shared" ref="Z5:Z17" si="5">80*12</f>
        <v>960</v>
      </c>
      <c r="AA6" s="14">
        <v>40</v>
      </c>
      <c r="AB6" s="14">
        <f t="shared" si="1"/>
        <v>169709.67</v>
      </c>
      <c r="AC6" s="78">
        <f>ROUND((G6-1)*AG6*11*通江农村客运车辆成本信息核定表!$D$8,0)</f>
        <v>15967</v>
      </c>
      <c r="AD6" s="159" t="s">
        <v>161</v>
      </c>
      <c r="AE6" s="14">
        <v>29</v>
      </c>
      <c r="AF6" s="14">
        <v>12</v>
      </c>
      <c r="AG6" s="14">
        <f>AH6*2*3</f>
        <v>168</v>
      </c>
      <c r="AH6" s="14">
        <v>28</v>
      </c>
      <c r="AI6" s="14">
        <f t="shared" ref="AI6:AI17" si="6">AE6*AG6*11</f>
        <v>53592</v>
      </c>
      <c r="AJ6" s="14"/>
      <c r="AK6" s="14"/>
      <c r="AL6" s="78">
        <f t="shared" ref="AL5:AL17" si="7">AF6*AC6</f>
        <v>191604</v>
      </c>
      <c r="AN6" s="166"/>
    </row>
    <row r="7" s="139" customFormat="1" ht="24.95" customHeight="1" spans="1:40">
      <c r="A7" s="148">
        <v>3</v>
      </c>
      <c r="B7" s="149" t="s">
        <v>162</v>
      </c>
      <c r="C7" s="153" t="s">
        <v>163</v>
      </c>
      <c r="D7" s="151" t="s">
        <v>164</v>
      </c>
      <c r="E7" s="151" t="s">
        <v>165</v>
      </c>
      <c r="F7" s="13">
        <v>43284</v>
      </c>
      <c r="G7" s="152">
        <v>11</v>
      </c>
      <c r="H7" s="151" t="s">
        <v>166</v>
      </c>
      <c r="I7" s="159" t="s">
        <v>167</v>
      </c>
      <c r="J7" s="14">
        <v>1000</v>
      </c>
      <c r="K7" s="14">
        <v>43</v>
      </c>
      <c r="L7" s="14">
        <v>7</v>
      </c>
      <c r="M7" s="14">
        <v>112000</v>
      </c>
      <c r="N7" s="14">
        <v>9655.17</v>
      </c>
      <c r="O7" s="14">
        <f t="shared" si="2"/>
        <v>16857.93</v>
      </c>
      <c r="P7" s="14">
        <f t="shared" si="0"/>
        <v>10000</v>
      </c>
      <c r="Q7" s="14">
        <f t="shared" si="3"/>
        <v>45000</v>
      </c>
      <c r="R7" s="14">
        <v>6472.8</v>
      </c>
      <c r="S7" s="14">
        <v>9778.08</v>
      </c>
      <c r="T7" s="14">
        <f t="shared" si="4"/>
        <v>46381.55</v>
      </c>
      <c r="U7" s="14">
        <v>360</v>
      </c>
      <c r="V7" s="14">
        <v>850</v>
      </c>
      <c r="W7" s="14">
        <f t="shared" ref="W7:W12" si="8">371*4+1000</f>
        <v>2484</v>
      </c>
      <c r="X7" s="14">
        <v>3210</v>
      </c>
      <c r="Y7" s="14">
        <v>8200</v>
      </c>
      <c r="Z7" s="14">
        <f t="shared" si="5"/>
        <v>960</v>
      </c>
      <c r="AA7" s="14">
        <v>40</v>
      </c>
      <c r="AB7" s="14">
        <f t="shared" si="1"/>
        <v>150594.36</v>
      </c>
      <c r="AC7" s="78">
        <f>ROUND((G7-1)*AG7*11*通江农村客运车辆成本信息核定表!$D$8,0)</f>
        <v>5914</v>
      </c>
      <c r="AD7" s="159" t="s">
        <v>167</v>
      </c>
      <c r="AE7" s="14">
        <v>43</v>
      </c>
      <c r="AF7" s="14">
        <v>14</v>
      </c>
      <c r="AG7" s="14">
        <f t="shared" ref="AG5:AG13" si="9">AH7*2*2</f>
        <v>112</v>
      </c>
      <c r="AH7" s="14">
        <v>28</v>
      </c>
      <c r="AI7" s="14">
        <f t="shared" si="6"/>
        <v>52976</v>
      </c>
      <c r="AJ7" s="14"/>
      <c r="AK7" s="14"/>
      <c r="AL7" s="78">
        <f t="shared" si="7"/>
        <v>82796</v>
      </c>
      <c r="AN7" s="166"/>
    </row>
    <row r="8" s="139" customFormat="1" ht="24.95" customHeight="1" spans="1:40">
      <c r="A8" s="148">
        <v>4</v>
      </c>
      <c r="B8" s="151" t="s">
        <v>168</v>
      </c>
      <c r="C8" s="153" t="s">
        <v>169</v>
      </c>
      <c r="D8" s="149" t="s">
        <v>170</v>
      </c>
      <c r="E8" s="151" t="s">
        <v>171</v>
      </c>
      <c r="F8" s="13">
        <v>43714</v>
      </c>
      <c r="G8" s="152">
        <v>11</v>
      </c>
      <c r="H8" s="151" t="s">
        <v>166</v>
      </c>
      <c r="I8" s="159" t="s">
        <v>167</v>
      </c>
      <c r="J8" s="14">
        <v>1000</v>
      </c>
      <c r="K8" s="14">
        <v>43</v>
      </c>
      <c r="L8" s="14">
        <v>7</v>
      </c>
      <c r="M8" s="14">
        <v>147000</v>
      </c>
      <c r="N8" s="14">
        <v>13008.85</v>
      </c>
      <c r="O8" s="14">
        <f t="shared" si="2"/>
        <v>22172.65</v>
      </c>
      <c r="P8" s="14">
        <f t="shared" si="0"/>
        <v>10000</v>
      </c>
      <c r="Q8" s="14">
        <f t="shared" si="3"/>
        <v>45000</v>
      </c>
      <c r="R8" s="14">
        <v>6472.8</v>
      </c>
      <c r="S8" s="14">
        <v>8772.43</v>
      </c>
      <c r="T8" s="14">
        <f t="shared" si="4"/>
        <v>46381.55</v>
      </c>
      <c r="U8" s="14">
        <v>360</v>
      </c>
      <c r="V8" s="14">
        <v>850</v>
      </c>
      <c r="W8" s="14">
        <f t="shared" si="8"/>
        <v>2484</v>
      </c>
      <c r="X8" s="14">
        <v>3210</v>
      </c>
      <c r="Y8" s="14">
        <v>8200</v>
      </c>
      <c r="Z8" s="14">
        <f t="shared" si="5"/>
        <v>960</v>
      </c>
      <c r="AA8" s="14">
        <v>40</v>
      </c>
      <c r="AB8" s="14">
        <f t="shared" si="1"/>
        <v>154903.43</v>
      </c>
      <c r="AC8" s="78">
        <f>ROUND((G8-1)*AG8*11*通江农村客运车辆成本信息核定表!$D$8,0)</f>
        <v>5914</v>
      </c>
      <c r="AD8" s="159" t="s">
        <v>167</v>
      </c>
      <c r="AE8" s="14">
        <v>43</v>
      </c>
      <c r="AF8" s="14">
        <v>14</v>
      </c>
      <c r="AG8" s="14">
        <f t="shared" si="9"/>
        <v>112</v>
      </c>
      <c r="AH8" s="14">
        <v>28</v>
      </c>
      <c r="AI8" s="14">
        <f t="shared" si="6"/>
        <v>52976</v>
      </c>
      <c r="AJ8" s="14"/>
      <c r="AK8" s="14"/>
      <c r="AL8" s="78">
        <f t="shared" si="7"/>
        <v>82796</v>
      </c>
      <c r="AN8" s="166"/>
    </row>
    <row r="9" s="139" customFormat="1" ht="24.95" customHeight="1" spans="1:40">
      <c r="A9" s="148">
        <v>5</v>
      </c>
      <c r="B9" s="149" t="s">
        <v>172</v>
      </c>
      <c r="C9" s="150">
        <v>511921000243</v>
      </c>
      <c r="D9" s="151" t="s">
        <v>173</v>
      </c>
      <c r="E9" s="151" t="s">
        <v>171</v>
      </c>
      <c r="F9" s="13">
        <v>43997</v>
      </c>
      <c r="G9" s="152">
        <v>14</v>
      </c>
      <c r="H9" s="151" t="s">
        <v>174</v>
      </c>
      <c r="I9" s="159" t="s">
        <v>175</v>
      </c>
      <c r="J9" s="14">
        <v>1100</v>
      </c>
      <c r="K9" s="14">
        <v>47</v>
      </c>
      <c r="L9" s="14">
        <v>7</v>
      </c>
      <c r="M9" s="14">
        <v>175000</v>
      </c>
      <c r="N9" s="14">
        <v>15486.73</v>
      </c>
      <c r="O9" s="14">
        <f t="shared" si="2"/>
        <v>26396.02</v>
      </c>
      <c r="P9" s="14">
        <f t="shared" si="0"/>
        <v>11000</v>
      </c>
      <c r="Q9" s="14">
        <f t="shared" si="3"/>
        <v>45000</v>
      </c>
      <c r="R9" s="14">
        <v>6472.8</v>
      </c>
      <c r="S9" s="14">
        <v>12564.77</v>
      </c>
      <c r="T9" s="14">
        <f t="shared" si="4"/>
        <v>50696.11</v>
      </c>
      <c r="U9" s="14">
        <v>360</v>
      </c>
      <c r="V9" s="14">
        <v>850</v>
      </c>
      <c r="W9" s="14">
        <f t="shared" si="8"/>
        <v>2484</v>
      </c>
      <c r="X9" s="14">
        <v>3500</v>
      </c>
      <c r="Y9" s="14">
        <v>8500</v>
      </c>
      <c r="Z9" s="14">
        <f t="shared" si="5"/>
        <v>960</v>
      </c>
      <c r="AA9" s="14">
        <v>40</v>
      </c>
      <c r="AB9" s="14">
        <f t="shared" si="1"/>
        <v>168823.7</v>
      </c>
      <c r="AC9" s="78">
        <f>ROUND((G9-1)*AG9*11*通江农村客运车辆成本信息核定表!$D$8,0)</f>
        <v>7688</v>
      </c>
      <c r="AD9" s="159" t="s">
        <v>175</v>
      </c>
      <c r="AE9" s="14">
        <v>47</v>
      </c>
      <c r="AF9" s="14">
        <v>17</v>
      </c>
      <c r="AG9" s="14">
        <f t="shared" si="9"/>
        <v>112</v>
      </c>
      <c r="AH9" s="14">
        <v>28</v>
      </c>
      <c r="AI9" s="14">
        <f t="shared" si="6"/>
        <v>57904</v>
      </c>
      <c r="AJ9" s="14"/>
      <c r="AK9" s="14"/>
      <c r="AL9" s="78">
        <f t="shared" si="7"/>
        <v>130696</v>
      </c>
      <c r="AN9" s="166"/>
    </row>
    <row r="10" s="139" customFormat="1" ht="24.95" customHeight="1" spans="1:40">
      <c r="A10" s="148">
        <v>6</v>
      </c>
      <c r="B10" s="149" t="s">
        <v>176</v>
      </c>
      <c r="C10" s="153" t="s">
        <v>177</v>
      </c>
      <c r="D10" s="149" t="s">
        <v>178</v>
      </c>
      <c r="E10" s="151" t="s">
        <v>179</v>
      </c>
      <c r="F10" s="13">
        <v>42631</v>
      </c>
      <c r="G10" s="152">
        <v>14</v>
      </c>
      <c r="H10" s="151" t="s">
        <v>174</v>
      </c>
      <c r="I10" s="159" t="s">
        <v>180</v>
      </c>
      <c r="J10" s="14">
        <v>1100</v>
      </c>
      <c r="K10" s="14">
        <v>47</v>
      </c>
      <c r="L10" s="14">
        <v>7</v>
      </c>
      <c r="M10" s="14">
        <v>94800</v>
      </c>
      <c r="N10" s="14">
        <v>8102.56</v>
      </c>
      <c r="O10" s="14">
        <f t="shared" si="2"/>
        <v>14259.35</v>
      </c>
      <c r="P10" s="14">
        <f t="shared" si="0"/>
        <v>11000</v>
      </c>
      <c r="Q10" s="14">
        <f t="shared" si="3"/>
        <v>45000</v>
      </c>
      <c r="R10" s="14">
        <v>6472.8</v>
      </c>
      <c r="S10" s="14">
        <v>12398.58</v>
      </c>
      <c r="T10" s="14">
        <f t="shared" si="4"/>
        <v>50696.11</v>
      </c>
      <c r="U10" s="14">
        <v>360</v>
      </c>
      <c r="V10" s="14">
        <v>850</v>
      </c>
      <c r="W10" s="14">
        <f t="shared" si="8"/>
        <v>2484</v>
      </c>
      <c r="X10" s="14">
        <v>3500</v>
      </c>
      <c r="Y10" s="14">
        <v>8500</v>
      </c>
      <c r="Z10" s="14">
        <f t="shared" si="5"/>
        <v>960</v>
      </c>
      <c r="AA10" s="14">
        <v>40</v>
      </c>
      <c r="AB10" s="14">
        <f t="shared" si="1"/>
        <v>156520.84</v>
      </c>
      <c r="AC10" s="78">
        <f>ROUND((G10-1)*AG10*11*通江农村客运车辆成本信息核定表!$D$8,0)</f>
        <v>7688</v>
      </c>
      <c r="AD10" s="159" t="s">
        <v>180</v>
      </c>
      <c r="AE10" s="14">
        <v>47</v>
      </c>
      <c r="AF10" s="14">
        <v>17</v>
      </c>
      <c r="AG10" s="14">
        <f t="shared" si="9"/>
        <v>112</v>
      </c>
      <c r="AH10" s="14">
        <v>28</v>
      </c>
      <c r="AI10" s="14">
        <f t="shared" si="6"/>
        <v>57904</v>
      </c>
      <c r="AJ10" s="14"/>
      <c r="AK10" s="14"/>
      <c r="AL10" s="78">
        <f t="shared" si="7"/>
        <v>130696</v>
      </c>
      <c r="AN10" s="166"/>
    </row>
    <row r="11" s="139" customFormat="1" ht="24.95" customHeight="1" spans="1:40">
      <c r="A11" s="148">
        <v>7</v>
      </c>
      <c r="B11" s="149" t="s">
        <v>181</v>
      </c>
      <c r="C11" s="153" t="s">
        <v>182</v>
      </c>
      <c r="D11" s="151" t="s">
        <v>183</v>
      </c>
      <c r="E11" s="151" t="s">
        <v>184</v>
      </c>
      <c r="F11" s="13">
        <v>44089</v>
      </c>
      <c r="G11" s="152">
        <v>14</v>
      </c>
      <c r="H11" s="151" t="s">
        <v>174</v>
      </c>
      <c r="I11" s="159" t="s">
        <v>180</v>
      </c>
      <c r="J11" s="14">
        <v>1100</v>
      </c>
      <c r="K11" s="14">
        <v>47</v>
      </c>
      <c r="L11" s="14">
        <v>7</v>
      </c>
      <c r="M11" s="14">
        <v>161000</v>
      </c>
      <c r="N11" s="14">
        <v>14247.79</v>
      </c>
      <c r="O11" s="14">
        <f t="shared" si="2"/>
        <v>24284.34</v>
      </c>
      <c r="P11" s="14">
        <f t="shared" si="0"/>
        <v>11000</v>
      </c>
      <c r="Q11" s="14">
        <f t="shared" si="3"/>
        <v>45000</v>
      </c>
      <c r="R11" s="14">
        <v>6472.8</v>
      </c>
      <c r="S11" s="14">
        <v>12213</v>
      </c>
      <c r="T11" s="14">
        <f t="shared" si="4"/>
        <v>50696.11</v>
      </c>
      <c r="U11" s="14">
        <v>360</v>
      </c>
      <c r="V11" s="14">
        <v>850</v>
      </c>
      <c r="W11" s="14">
        <f t="shared" si="8"/>
        <v>2484</v>
      </c>
      <c r="X11" s="14">
        <v>3500</v>
      </c>
      <c r="Y11" s="14">
        <v>8500</v>
      </c>
      <c r="Z11" s="14">
        <f t="shared" si="5"/>
        <v>960</v>
      </c>
      <c r="AA11" s="14">
        <v>40</v>
      </c>
      <c r="AB11" s="14">
        <f t="shared" si="1"/>
        <v>166360.25</v>
      </c>
      <c r="AC11" s="78">
        <f>ROUND((G11-1)*AG11*11*通江农村客运车辆成本信息核定表!$D$8,0)</f>
        <v>7688</v>
      </c>
      <c r="AD11" s="159" t="s">
        <v>180</v>
      </c>
      <c r="AE11" s="14">
        <v>47</v>
      </c>
      <c r="AF11" s="14">
        <v>17</v>
      </c>
      <c r="AG11" s="14">
        <f t="shared" si="9"/>
        <v>112</v>
      </c>
      <c r="AH11" s="14">
        <v>28</v>
      </c>
      <c r="AI11" s="14">
        <f t="shared" si="6"/>
        <v>57904</v>
      </c>
      <c r="AJ11" s="14"/>
      <c r="AK11" s="14"/>
      <c r="AL11" s="78">
        <f t="shared" si="7"/>
        <v>130696</v>
      </c>
      <c r="AN11" s="166"/>
    </row>
    <row r="12" s="139" customFormat="1" ht="24.95" customHeight="1" spans="1:40">
      <c r="A12" s="148">
        <v>8</v>
      </c>
      <c r="B12" s="151" t="s">
        <v>185</v>
      </c>
      <c r="C12" s="153" t="s">
        <v>186</v>
      </c>
      <c r="D12" s="151" t="s">
        <v>187</v>
      </c>
      <c r="E12" s="151" t="s">
        <v>188</v>
      </c>
      <c r="F12" s="13">
        <v>44132</v>
      </c>
      <c r="G12" s="152">
        <v>14</v>
      </c>
      <c r="H12" s="151" t="s">
        <v>174</v>
      </c>
      <c r="I12" s="159" t="s">
        <v>189</v>
      </c>
      <c r="J12" s="14">
        <v>1100</v>
      </c>
      <c r="K12" s="14">
        <v>47</v>
      </c>
      <c r="L12" s="14">
        <v>7</v>
      </c>
      <c r="M12" s="14">
        <v>118000</v>
      </c>
      <c r="N12" s="14">
        <v>10442.48</v>
      </c>
      <c r="O12" s="14">
        <f t="shared" si="2"/>
        <v>17798.46</v>
      </c>
      <c r="P12" s="14">
        <f t="shared" si="0"/>
        <v>11000</v>
      </c>
      <c r="Q12" s="14">
        <f t="shared" si="3"/>
        <v>45000</v>
      </c>
      <c r="R12" s="14">
        <v>6472.8</v>
      </c>
      <c r="S12" s="14">
        <v>12564.92</v>
      </c>
      <c r="T12" s="14">
        <f t="shared" si="4"/>
        <v>50696.11</v>
      </c>
      <c r="U12" s="14">
        <v>360</v>
      </c>
      <c r="V12" s="14">
        <v>850</v>
      </c>
      <c r="W12" s="14">
        <f t="shared" si="8"/>
        <v>2484</v>
      </c>
      <c r="X12" s="14">
        <v>3500</v>
      </c>
      <c r="Y12" s="14">
        <v>8500</v>
      </c>
      <c r="Z12" s="14">
        <f t="shared" si="5"/>
        <v>960</v>
      </c>
      <c r="AA12" s="14">
        <v>40</v>
      </c>
      <c r="AB12" s="14">
        <f t="shared" si="1"/>
        <v>160226.29</v>
      </c>
      <c r="AC12" s="78">
        <f>ROUND((G12-1)*AG12*11*通江农村客运车辆成本信息核定表!$D$8,0)</f>
        <v>7688</v>
      </c>
      <c r="AD12" s="159" t="s">
        <v>189</v>
      </c>
      <c r="AE12" s="14">
        <v>47</v>
      </c>
      <c r="AF12" s="14">
        <v>17</v>
      </c>
      <c r="AG12" s="14">
        <f t="shared" si="9"/>
        <v>112</v>
      </c>
      <c r="AH12" s="14">
        <v>28</v>
      </c>
      <c r="AI12" s="14">
        <f t="shared" si="6"/>
        <v>57904</v>
      </c>
      <c r="AJ12" s="14"/>
      <c r="AK12" s="14"/>
      <c r="AL12" s="78">
        <f t="shared" si="7"/>
        <v>130696</v>
      </c>
      <c r="AN12" s="166"/>
    </row>
    <row r="13" s="139" customFormat="1" ht="24.95" customHeight="1" spans="1:40">
      <c r="A13" s="148">
        <v>9</v>
      </c>
      <c r="B13" s="149" t="s">
        <v>190</v>
      </c>
      <c r="C13" s="150" t="s">
        <v>191</v>
      </c>
      <c r="D13" s="151" t="s">
        <v>192</v>
      </c>
      <c r="E13" s="151" t="s">
        <v>193</v>
      </c>
      <c r="F13" s="168">
        <v>44021</v>
      </c>
      <c r="G13" s="152">
        <v>9</v>
      </c>
      <c r="H13" s="151" t="s">
        <v>194</v>
      </c>
      <c r="I13" s="159" t="s">
        <v>195</v>
      </c>
      <c r="J13" s="14">
        <v>800</v>
      </c>
      <c r="K13" s="14">
        <v>55</v>
      </c>
      <c r="L13" s="14">
        <v>7</v>
      </c>
      <c r="M13" s="14">
        <v>85000</v>
      </c>
      <c r="N13" s="14">
        <v>7522.12</v>
      </c>
      <c r="O13" s="14">
        <f t="shared" si="2"/>
        <v>12820.92</v>
      </c>
      <c r="P13" s="14">
        <f t="shared" si="0"/>
        <v>8000</v>
      </c>
      <c r="Q13" s="14">
        <f t="shared" si="3"/>
        <v>45000</v>
      </c>
      <c r="R13" s="14">
        <v>6472.8</v>
      </c>
      <c r="S13" s="14">
        <v>8525</v>
      </c>
      <c r="T13" s="14">
        <f t="shared" si="4"/>
        <v>88987.85</v>
      </c>
      <c r="U13" s="14">
        <v>360</v>
      </c>
      <c r="V13" s="14">
        <f>680</f>
        <v>680</v>
      </c>
      <c r="W13" s="14">
        <v>2484</v>
      </c>
      <c r="X13" s="14">
        <v>3210</v>
      </c>
      <c r="Y13" s="14">
        <v>8000</v>
      </c>
      <c r="Z13" s="14">
        <f t="shared" si="5"/>
        <v>960</v>
      </c>
      <c r="AA13" s="14">
        <v>40</v>
      </c>
      <c r="AB13" s="14">
        <f t="shared" si="1"/>
        <v>185540.57</v>
      </c>
      <c r="AC13" s="78">
        <f>ROUND((G13-1)*AG13*11*通江农村客运车辆成本信息核定表!$D$8,0)</f>
        <v>7096</v>
      </c>
      <c r="AD13" s="159" t="s">
        <v>195</v>
      </c>
      <c r="AE13" s="14">
        <v>55</v>
      </c>
      <c r="AF13" s="14">
        <v>14</v>
      </c>
      <c r="AG13" s="14">
        <f>AH13*2*3</f>
        <v>168</v>
      </c>
      <c r="AH13" s="14">
        <v>28</v>
      </c>
      <c r="AI13" s="14">
        <f t="shared" si="6"/>
        <v>101640</v>
      </c>
      <c r="AJ13" s="14"/>
      <c r="AK13" s="14"/>
      <c r="AL13" s="78">
        <f t="shared" si="7"/>
        <v>99344</v>
      </c>
      <c r="AN13" s="166"/>
    </row>
    <row r="14" s="139" customFormat="1" ht="24.95" customHeight="1" spans="1:40">
      <c r="A14" s="148">
        <v>10</v>
      </c>
      <c r="B14" s="149" t="s">
        <v>196</v>
      </c>
      <c r="C14" s="153" t="s">
        <v>197</v>
      </c>
      <c r="D14" s="149" t="s">
        <v>198</v>
      </c>
      <c r="E14" s="151" t="s">
        <v>153</v>
      </c>
      <c r="F14" s="13">
        <v>43599</v>
      </c>
      <c r="G14" s="152">
        <v>19</v>
      </c>
      <c r="H14" s="151" t="s">
        <v>174</v>
      </c>
      <c r="I14" s="159" t="s">
        <v>199</v>
      </c>
      <c r="J14" s="14">
        <v>1300</v>
      </c>
      <c r="K14" s="14">
        <v>63</v>
      </c>
      <c r="L14" s="14">
        <v>7</v>
      </c>
      <c r="M14" s="14">
        <v>140000</v>
      </c>
      <c r="N14" s="14">
        <v>13200</v>
      </c>
      <c r="O14" s="14">
        <f t="shared" si="2"/>
        <v>21229.14</v>
      </c>
      <c r="P14" s="14">
        <f t="shared" si="0"/>
        <v>13000</v>
      </c>
      <c r="Q14" s="14">
        <f t="shared" si="3"/>
        <v>45000</v>
      </c>
      <c r="R14" s="14">
        <v>6472.8</v>
      </c>
      <c r="S14" s="14">
        <v>15375.97</v>
      </c>
      <c r="T14" s="14">
        <f t="shared" si="4"/>
        <v>33977.18</v>
      </c>
      <c r="U14" s="14">
        <v>360</v>
      </c>
      <c r="V14" s="14">
        <v>850</v>
      </c>
      <c r="W14" s="14">
        <f>490*4+1000</f>
        <v>2960</v>
      </c>
      <c r="X14" s="14">
        <v>4000</v>
      </c>
      <c r="Y14" s="14">
        <v>10500</v>
      </c>
      <c r="Z14" s="14">
        <f t="shared" si="5"/>
        <v>960</v>
      </c>
      <c r="AA14" s="14">
        <v>40</v>
      </c>
      <c r="AB14" s="14">
        <f t="shared" si="1"/>
        <v>154725.09</v>
      </c>
      <c r="AC14" s="78">
        <f>ROUND((G14-1)*AG14*11*通江农村客运车辆成本信息核定表!$D$8,0)</f>
        <v>5322</v>
      </c>
      <c r="AD14" s="159" t="s">
        <v>199</v>
      </c>
      <c r="AE14" s="14">
        <v>63</v>
      </c>
      <c r="AF14" s="14">
        <v>22</v>
      </c>
      <c r="AG14" s="14">
        <f>AH14*2*1</f>
        <v>56</v>
      </c>
      <c r="AH14" s="14">
        <v>28</v>
      </c>
      <c r="AI14" s="14">
        <f t="shared" si="6"/>
        <v>38808</v>
      </c>
      <c r="AJ14" s="14"/>
      <c r="AK14" s="14"/>
      <c r="AL14" s="78">
        <f t="shared" si="7"/>
        <v>117084</v>
      </c>
      <c r="AN14" s="166"/>
    </row>
    <row r="15" s="139" customFormat="1" ht="24.95" customHeight="1" spans="1:40">
      <c r="A15" s="148">
        <v>11</v>
      </c>
      <c r="B15" s="149" t="s">
        <v>200</v>
      </c>
      <c r="C15" s="150">
        <v>511921001438</v>
      </c>
      <c r="D15" s="151" t="s">
        <v>201</v>
      </c>
      <c r="E15" s="151" t="s">
        <v>165</v>
      </c>
      <c r="F15" s="13">
        <v>43410</v>
      </c>
      <c r="G15" s="152">
        <v>9</v>
      </c>
      <c r="H15" s="151" t="s">
        <v>194</v>
      </c>
      <c r="I15" s="159" t="s">
        <v>202</v>
      </c>
      <c r="J15" s="14">
        <v>800</v>
      </c>
      <c r="K15" s="14">
        <v>40</v>
      </c>
      <c r="L15" s="14">
        <v>7</v>
      </c>
      <c r="M15" s="14">
        <v>95800</v>
      </c>
      <c r="N15" s="14">
        <v>8258.62</v>
      </c>
      <c r="O15" s="14">
        <f t="shared" si="2"/>
        <v>14419.55</v>
      </c>
      <c r="P15" s="14">
        <f t="shared" si="0"/>
        <v>8000</v>
      </c>
      <c r="Q15" s="14">
        <f t="shared" si="3"/>
        <v>45000</v>
      </c>
      <c r="R15" s="14">
        <v>6472.8</v>
      </c>
      <c r="S15" s="14">
        <v>8031.4</v>
      </c>
      <c r="T15" s="14">
        <f t="shared" si="4"/>
        <v>64718.44</v>
      </c>
      <c r="U15" s="14">
        <v>360</v>
      </c>
      <c r="V15" s="14">
        <f>680</f>
        <v>680</v>
      </c>
      <c r="W15" s="14">
        <v>2484</v>
      </c>
      <c r="X15" s="14">
        <v>3210</v>
      </c>
      <c r="Y15" s="14">
        <v>8000</v>
      </c>
      <c r="Z15" s="14">
        <f t="shared" si="5"/>
        <v>960</v>
      </c>
      <c r="AA15" s="14">
        <v>40</v>
      </c>
      <c r="AB15" s="14">
        <f t="shared" si="1"/>
        <v>162376.19</v>
      </c>
      <c r="AC15" s="78">
        <f>ROUND((G15-1)*AG15*11*通江农村客运车辆成本信息核定表!$D$8,0)</f>
        <v>7096</v>
      </c>
      <c r="AD15" s="159" t="s">
        <v>202</v>
      </c>
      <c r="AE15" s="14">
        <v>40</v>
      </c>
      <c r="AF15" s="14">
        <v>13</v>
      </c>
      <c r="AG15" s="14">
        <f>AH15*2*3</f>
        <v>168</v>
      </c>
      <c r="AH15" s="14">
        <v>28</v>
      </c>
      <c r="AI15" s="14">
        <f t="shared" si="6"/>
        <v>73920</v>
      </c>
      <c r="AJ15" s="14"/>
      <c r="AK15" s="14"/>
      <c r="AL15" s="78">
        <f t="shared" si="7"/>
        <v>92248</v>
      </c>
      <c r="AN15" s="166"/>
    </row>
    <row r="16" s="139" customFormat="1" ht="24.95" customHeight="1" spans="1:40">
      <c r="A16" s="148">
        <v>12</v>
      </c>
      <c r="B16" s="149" t="s">
        <v>203</v>
      </c>
      <c r="C16" s="153" t="s">
        <v>204</v>
      </c>
      <c r="D16" s="149" t="s">
        <v>205</v>
      </c>
      <c r="E16" s="151" t="s">
        <v>165</v>
      </c>
      <c r="F16" s="13">
        <v>43579</v>
      </c>
      <c r="G16" s="152">
        <v>14</v>
      </c>
      <c r="H16" s="151" t="s">
        <v>174</v>
      </c>
      <c r="I16" s="159" t="s">
        <v>206</v>
      </c>
      <c r="J16" s="14">
        <v>1100</v>
      </c>
      <c r="K16" s="14">
        <v>90</v>
      </c>
      <c r="L16" s="14">
        <v>7</v>
      </c>
      <c r="M16" s="14">
        <v>116000</v>
      </c>
      <c r="N16" s="14">
        <v>10265.49</v>
      </c>
      <c r="O16" s="14">
        <f t="shared" si="2"/>
        <v>17496.79</v>
      </c>
      <c r="P16" s="14">
        <f t="shared" si="0"/>
        <v>11000</v>
      </c>
      <c r="Q16" s="14">
        <f t="shared" si="3"/>
        <v>45000</v>
      </c>
      <c r="R16" s="14">
        <v>6472.8</v>
      </c>
      <c r="S16" s="14">
        <v>13032.49</v>
      </c>
      <c r="T16" s="14">
        <f t="shared" si="4"/>
        <v>48538.83</v>
      </c>
      <c r="U16" s="14">
        <v>360</v>
      </c>
      <c r="V16" s="14">
        <v>850</v>
      </c>
      <c r="W16" s="14">
        <f>371*4+1000</f>
        <v>2484</v>
      </c>
      <c r="X16" s="14">
        <v>3500</v>
      </c>
      <c r="Y16" s="14">
        <v>8500</v>
      </c>
      <c r="Z16" s="14">
        <f t="shared" si="5"/>
        <v>960</v>
      </c>
      <c r="AA16" s="14">
        <v>40</v>
      </c>
      <c r="AB16" s="14">
        <f t="shared" si="1"/>
        <v>158234.91</v>
      </c>
      <c r="AC16" s="78">
        <f>ROUND((G16-1)*AG16*11*通江农村客运车辆成本信息核定表!$D$8,0)</f>
        <v>3844</v>
      </c>
      <c r="AD16" s="159" t="s">
        <v>206</v>
      </c>
      <c r="AE16" s="14">
        <v>90</v>
      </c>
      <c r="AF16" s="14">
        <v>31</v>
      </c>
      <c r="AG16" s="14">
        <f>AH16*2*1</f>
        <v>56</v>
      </c>
      <c r="AH16" s="14">
        <v>28</v>
      </c>
      <c r="AI16" s="14">
        <f t="shared" si="6"/>
        <v>55440</v>
      </c>
      <c r="AJ16" s="14"/>
      <c r="AK16" s="14"/>
      <c r="AL16" s="78">
        <f t="shared" si="7"/>
        <v>119164</v>
      </c>
      <c r="AN16" s="166"/>
    </row>
    <row r="17" s="139" customFormat="1" ht="24.95" customHeight="1" spans="1:40">
      <c r="A17" s="148">
        <v>13</v>
      </c>
      <c r="B17" s="151" t="s">
        <v>212</v>
      </c>
      <c r="C17" s="150">
        <v>511921000028</v>
      </c>
      <c r="D17" s="148" t="s">
        <v>213</v>
      </c>
      <c r="E17" s="148" t="s">
        <v>214</v>
      </c>
      <c r="F17" s="169">
        <v>43966</v>
      </c>
      <c r="G17" s="152">
        <v>9</v>
      </c>
      <c r="H17" s="151" t="s">
        <v>194</v>
      </c>
      <c r="I17" s="159" t="s">
        <v>215</v>
      </c>
      <c r="J17" s="14">
        <v>800</v>
      </c>
      <c r="K17" s="14">
        <v>39</v>
      </c>
      <c r="L17" s="14">
        <v>7</v>
      </c>
      <c r="M17" s="14">
        <v>99300</v>
      </c>
      <c r="N17" s="14">
        <v>8787.61</v>
      </c>
      <c r="O17" s="14">
        <f t="shared" si="2"/>
        <v>14977.85</v>
      </c>
      <c r="P17" s="14">
        <f t="shared" si="0"/>
        <v>8000</v>
      </c>
      <c r="Q17" s="14">
        <f t="shared" si="3"/>
        <v>45000</v>
      </c>
      <c r="R17" s="14">
        <v>6472.8</v>
      </c>
      <c r="S17" s="14">
        <v>8579.23</v>
      </c>
      <c r="T17" s="14">
        <f t="shared" si="4"/>
        <v>63100.48</v>
      </c>
      <c r="U17" s="14">
        <v>360</v>
      </c>
      <c r="V17" s="14">
        <f>680</f>
        <v>680</v>
      </c>
      <c r="W17" s="14">
        <v>2484</v>
      </c>
      <c r="X17" s="14">
        <v>3210</v>
      </c>
      <c r="Y17" s="14">
        <v>8000</v>
      </c>
      <c r="Z17" s="14">
        <f t="shared" si="5"/>
        <v>960</v>
      </c>
      <c r="AA17" s="14">
        <v>40</v>
      </c>
      <c r="AB17" s="14">
        <f t="shared" si="1"/>
        <v>161864.36</v>
      </c>
      <c r="AC17" s="78">
        <f>ROUND((G17-1)*AG17*11*通江农村客运车辆成本信息核定表!$D$8,0)</f>
        <v>7096</v>
      </c>
      <c r="AD17" s="159" t="s">
        <v>215</v>
      </c>
      <c r="AE17" s="14">
        <v>39</v>
      </c>
      <c r="AF17" s="14">
        <v>14</v>
      </c>
      <c r="AG17" s="14">
        <f>AH17*2*3</f>
        <v>168</v>
      </c>
      <c r="AH17" s="14">
        <v>28</v>
      </c>
      <c r="AI17" s="14">
        <f t="shared" si="6"/>
        <v>72072</v>
      </c>
      <c r="AJ17" s="14"/>
      <c r="AK17" s="14"/>
      <c r="AL17" s="78">
        <f t="shared" si="7"/>
        <v>99344</v>
      </c>
      <c r="AN17" s="166"/>
    </row>
    <row r="18" s="140" customFormat="1" ht="24.95" customHeight="1" spans="1:41">
      <c r="A18" s="106" t="s">
        <v>216</v>
      </c>
      <c r="B18" s="107"/>
      <c r="C18" s="154"/>
      <c r="D18" s="154"/>
      <c r="E18" s="154"/>
      <c r="F18" s="154"/>
      <c r="G18" s="62">
        <f>SUM(G5:G17)</f>
        <v>166</v>
      </c>
      <c r="H18" s="155"/>
      <c r="I18" s="155"/>
      <c r="J18" s="19">
        <f>SUM(J5:J17)</f>
        <v>13300</v>
      </c>
      <c r="K18" s="19">
        <f>SUM(K5:K17)</f>
        <v>613</v>
      </c>
      <c r="L18" s="19">
        <f>SUM(L5:L17)</f>
        <v>91</v>
      </c>
      <c r="M18" s="19">
        <f>SUM(M9:M17)</f>
        <v>1084900</v>
      </c>
      <c r="N18" s="19">
        <f>SUM(N9:N17)</f>
        <v>96313.4</v>
      </c>
      <c r="O18" s="19">
        <f t="shared" ref="O18:AC18" si="10">SUM(O5:O17)</f>
        <v>242819.86</v>
      </c>
      <c r="P18" s="19">
        <f t="shared" si="10"/>
        <v>133000</v>
      </c>
      <c r="Q18" s="19">
        <f t="shared" si="10"/>
        <v>585000</v>
      </c>
      <c r="R18" s="19">
        <f t="shared" si="10"/>
        <v>84146.4</v>
      </c>
      <c r="S18" s="19">
        <f t="shared" si="10"/>
        <v>145002.87</v>
      </c>
      <c r="T18" s="19">
        <f t="shared" si="10"/>
        <v>703813.03</v>
      </c>
      <c r="U18" s="19">
        <f t="shared" si="10"/>
        <v>4680</v>
      </c>
      <c r="V18" s="19">
        <f t="shared" si="10"/>
        <v>10200</v>
      </c>
      <c r="W18" s="19">
        <f t="shared" si="10"/>
        <v>33244</v>
      </c>
      <c r="X18" s="19">
        <f t="shared" si="10"/>
        <v>44760</v>
      </c>
      <c r="Y18" s="19">
        <f t="shared" si="10"/>
        <v>111900</v>
      </c>
      <c r="Z18" s="19">
        <f t="shared" si="10"/>
        <v>12480</v>
      </c>
      <c r="AA18" s="19">
        <f t="shared" si="10"/>
        <v>520</v>
      </c>
      <c r="AB18" s="19">
        <f t="shared" si="10"/>
        <v>2111566.16</v>
      </c>
      <c r="AC18" s="128">
        <f t="shared" si="10"/>
        <v>100828</v>
      </c>
      <c r="AD18" s="33" t="s">
        <v>216</v>
      </c>
      <c r="AE18" s="19">
        <f t="shared" ref="AE18:AL18" si="11">SUM(AE5:AE17)</f>
        <v>613</v>
      </c>
      <c r="AF18" s="19">
        <f t="shared" si="11"/>
        <v>210</v>
      </c>
      <c r="AG18" s="19">
        <f t="shared" si="11"/>
        <v>1736</v>
      </c>
      <c r="AH18" s="19">
        <f t="shared" si="11"/>
        <v>364</v>
      </c>
      <c r="AI18" s="19">
        <f t="shared" si="11"/>
        <v>803880</v>
      </c>
      <c r="AJ18" s="19">
        <f t="shared" si="11"/>
        <v>0</v>
      </c>
      <c r="AK18" s="19">
        <f t="shared" si="11"/>
        <v>0</v>
      </c>
      <c r="AL18" s="128">
        <f t="shared" si="11"/>
        <v>1501780</v>
      </c>
      <c r="AN18" s="166"/>
      <c r="AO18" s="167"/>
    </row>
    <row r="19" s="140" customFormat="1" ht="24.95" customHeight="1" spans="1:41">
      <c r="A19" s="18" t="s">
        <v>217</v>
      </c>
      <c r="B19" s="16"/>
      <c r="C19" s="154"/>
      <c r="D19" s="154"/>
      <c r="E19" s="154"/>
      <c r="F19" s="154"/>
      <c r="G19" s="62">
        <f>ROUND(G18/$A$17,2)</f>
        <v>12.77</v>
      </c>
      <c r="H19" s="156"/>
      <c r="I19" s="156"/>
      <c r="J19" s="19">
        <f>ROUND(J18/$F$21,2)</f>
        <v>1023.08</v>
      </c>
      <c r="K19" s="19">
        <f>ROUND(K18/$F$21,2)</f>
        <v>47.15</v>
      </c>
      <c r="L19" s="19">
        <f t="shared" ref="L19:AC19" si="12">ROUND(L18/$F$21,2)</f>
        <v>7</v>
      </c>
      <c r="M19" s="19">
        <f t="shared" si="12"/>
        <v>83453.85</v>
      </c>
      <c r="N19" s="19">
        <f t="shared" si="12"/>
        <v>7408.72</v>
      </c>
      <c r="O19" s="19">
        <f t="shared" si="12"/>
        <v>18678.45</v>
      </c>
      <c r="P19" s="19">
        <f t="shared" si="12"/>
        <v>10230.77</v>
      </c>
      <c r="Q19" s="19">
        <f t="shared" si="12"/>
        <v>45000</v>
      </c>
      <c r="R19" s="19">
        <f t="shared" si="12"/>
        <v>6472.8</v>
      </c>
      <c r="S19" s="19">
        <f t="shared" si="12"/>
        <v>11154.07</v>
      </c>
      <c r="T19" s="19">
        <f t="shared" si="12"/>
        <v>54139.46</v>
      </c>
      <c r="U19" s="19">
        <f t="shared" si="12"/>
        <v>360</v>
      </c>
      <c r="V19" s="19">
        <f t="shared" si="12"/>
        <v>784.62</v>
      </c>
      <c r="W19" s="19">
        <f t="shared" si="12"/>
        <v>2557.23</v>
      </c>
      <c r="X19" s="19">
        <f t="shared" si="12"/>
        <v>3443.08</v>
      </c>
      <c r="Y19" s="19">
        <f t="shared" si="12"/>
        <v>8607.69</v>
      </c>
      <c r="Z19" s="19">
        <f t="shared" si="12"/>
        <v>960</v>
      </c>
      <c r="AA19" s="19">
        <f t="shared" si="12"/>
        <v>40</v>
      </c>
      <c r="AB19" s="19">
        <f>ROUND(AB18/$F$21,2)+0.01</f>
        <v>162428.18</v>
      </c>
      <c r="AC19" s="128">
        <f>ROUND(AC18/$F$21,2)</f>
        <v>7756</v>
      </c>
      <c r="AD19" s="33" t="s">
        <v>217</v>
      </c>
      <c r="AE19" s="19">
        <f t="shared" ref="AE19:AL19" si="13">ROUND(AE18/$F$21,2)</f>
        <v>47.15</v>
      </c>
      <c r="AF19" s="19">
        <f t="shared" si="13"/>
        <v>16.15</v>
      </c>
      <c r="AG19" s="19">
        <f t="shared" si="13"/>
        <v>133.54</v>
      </c>
      <c r="AH19" s="19">
        <f t="shared" si="13"/>
        <v>28</v>
      </c>
      <c r="AI19" s="19">
        <f t="shared" si="13"/>
        <v>61836.92</v>
      </c>
      <c r="AJ19" s="19">
        <f t="shared" si="13"/>
        <v>0</v>
      </c>
      <c r="AK19" s="19">
        <f t="shared" si="13"/>
        <v>0</v>
      </c>
      <c r="AL19" s="128">
        <f t="shared" si="13"/>
        <v>115521.54</v>
      </c>
      <c r="AN19" s="166"/>
      <c r="AO19" s="167"/>
    </row>
    <row r="20" ht="27" customHeight="1"/>
    <row r="21" ht="27" customHeight="1" spans="1:38">
      <c r="A21" s="41">
        <v>10</v>
      </c>
      <c r="B21" s="41">
        <v>5.5</v>
      </c>
      <c r="C21" s="41">
        <v>0.6</v>
      </c>
      <c r="D21" s="41">
        <v>1.1</v>
      </c>
      <c r="F21" s="41">
        <v>13</v>
      </c>
      <c r="X21" s="163"/>
      <c r="Y21" s="163"/>
      <c r="AB21" s="43"/>
      <c r="AC21" s="43"/>
      <c r="AL21" s="144"/>
    </row>
    <row r="22" ht="27" customHeight="1" spans="29:38">
      <c r="AC22" s="43"/>
      <c r="AL22" s="43"/>
    </row>
    <row r="23" spans="28:28">
      <c r="AB23" s="43"/>
    </row>
  </sheetData>
  <sheetProtection formatCells="0" insertHyperlinks="0" autoFilter="0"/>
  <mergeCells count="6">
    <mergeCell ref="A2:W2"/>
    <mergeCell ref="X2:AL2"/>
    <mergeCell ref="U3:W3"/>
    <mergeCell ref="AJ3:AL3"/>
    <mergeCell ref="A18:B18"/>
    <mergeCell ref="A19:B19"/>
  </mergeCells>
  <pageMargins left="0.550694444444444" right="0.511805555555556" top="0.802777777777778" bottom="0.802777777777778" header="0.5" footer="0.5"/>
  <pageSetup paperSize="9" scale="76" fitToHeight="0" pageOrder="overThenDown" orientation="landscape" horizontalDpi="600"/>
  <headerFooter>
    <oddFooter>&amp;C第 &amp;P 页，共 &amp;N 页</oddFooter>
  </headerFooter>
  <colBreaks count="1" manualBreakCount="1">
    <brk id="23" max="18" man="1"/>
  </colBreaks>
  <ignoredErrors>
    <ignoredError sqref="AB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"/>
  <sheetViews>
    <sheetView showZeros="0" view="pageBreakPreview" zoomScaleNormal="100" zoomScaleSheetLayoutView="100" workbookViewId="0">
      <pane xSplit="4" ySplit="4" topLeftCell="P5" activePane="bottomRight" state="frozen"/>
      <selection/>
      <selection pane="topRight"/>
      <selection pane="bottomLeft"/>
      <selection pane="bottomRight" activeCell="Q6" sqref="Q6"/>
    </sheetView>
  </sheetViews>
  <sheetFormatPr defaultColWidth="8.88333333333333" defaultRowHeight="13.5"/>
  <cols>
    <col min="1" max="1" width="3.10833333333333" style="41" customWidth="1"/>
    <col min="2" max="2" width="7.5" style="41" customWidth="1"/>
    <col min="3" max="3" width="11.6666666666667" style="41" customWidth="1"/>
    <col min="4" max="4" width="7.13333333333333" style="41" customWidth="1"/>
    <col min="5" max="5" width="6.88333333333333" style="41" customWidth="1"/>
    <col min="6" max="6" width="9.38333333333333" style="41" customWidth="1"/>
    <col min="7" max="7" width="4" style="41" customWidth="1"/>
    <col min="8" max="8" width="10.25" style="41" customWidth="1"/>
    <col min="9" max="9" width="11" style="141" customWidth="1"/>
    <col min="10" max="10" width="10.3333333333333" style="141" customWidth="1"/>
    <col min="11" max="11" width="7.66666666666667" style="141" customWidth="1"/>
    <col min="12" max="12" width="5.5" style="141" customWidth="1"/>
    <col min="13" max="14" width="7.63333333333333" style="43" customWidth="1"/>
    <col min="15" max="15" width="7.63333333333333" style="142" customWidth="1"/>
    <col min="16" max="21" width="7.63333333333333" style="43" customWidth="1"/>
    <col min="22" max="22" width="7.63333333333333" style="143" customWidth="1"/>
    <col min="23" max="23" width="9.13333333333333" style="43" customWidth="1"/>
    <col min="24" max="27" width="7.63333333333333" style="43" customWidth="1"/>
    <col min="28" max="29" width="7.63333333333333" style="41" customWidth="1"/>
    <col min="30" max="30" width="10.1333333333333" style="41" customWidth="1"/>
    <col min="31" max="32" width="7.63333333333333" style="144" customWidth="1"/>
    <col min="33" max="35" width="8.88333333333333" style="144" customWidth="1"/>
    <col min="36" max="36" width="9" style="144" customWidth="1"/>
    <col min="37" max="37" width="9.38333333333333" style="144" customWidth="1"/>
    <col min="38" max="38" width="11.75" style="41" customWidth="1"/>
    <col min="39" max="39" width="8.88333333333333" style="41"/>
    <col min="40" max="40" width="7.5" style="41" customWidth="1"/>
    <col min="41" max="41" width="7.75" style="41" customWidth="1"/>
    <col min="42" max="16384" width="8.88333333333333" style="41"/>
  </cols>
  <sheetData>
    <row r="1" spans="1:1">
      <c r="A1" s="5" t="s">
        <v>220</v>
      </c>
    </row>
    <row r="2" ht="42" customHeight="1" spans="1:38">
      <c r="A2" s="44" t="s">
        <v>221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 t="s">
        <v>221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="123" customFormat="1" ht="24.95" customHeight="1" spans="1:38">
      <c r="A3" s="145" t="s">
        <v>112</v>
      </c>
      <c r="B3" s="145"/>
      <c r="C3" s="145"/>
      <c r="D3" s="146"/>
      <c r="E3" s="146"/>
      <c r="F3" s="146"/>
      <c r="G3" s="146"/>
      <c r="H3" s="146"/>
      <c r="I3" s="157"/>
      <c r="J3" s="157"/>
      <c r="K3" s="157"/>
      <c r="L3" s="157"/>
      <c r="M3" s="158"/>
      <c r="N3" s="158"/>
      <c r="O3" s="69"/>
      <c r="P3" s="158"/>
      <c r="Q3" s="158"/>
      <c r="R3" s="158"/>
      <c r="S3" s="158"/>
      <c r="T3" s="158"/>
      <c r="U3" s="158"/>
      <c r="V3" s="7" t="s">
        <v>113</v>
      </c>
      <c r="W3" s="158"/>
      <c r="X3" s="158"/>
      <c r="Y3" s="158"/>
      <c r="Z3" s="158"/>
      <c r="AA3" s="158"/>
      <c r="AE3" s="164"/>
      <c r="AF3" s="164"/>
      <c r="AG3" s="164"/>
      <c r="AH3" s="164"/>
      <c r="AI3" s="164"/>
      <c r="AJ3" s="165" t="s">
        <v>113</v>
      </c>
      <c r="AK3" s="165"/>
      <c r="AL3" s="165"/>
    </row>
    <row r="4" s="138" customFormat="1" ht="39" customHeight="1" spans="1:38">
      <c r="A4" s="11" t="s">
        <v>114</v>
      </c>
      <c r="B4" s="11" t="s">
        <v>115</v>
      </c>
      <c r="C4" s="147" t="s">
        <v>116</v>
      </c>
      <c r="D4" s="11" t="s">
        <v>117</v>
      </c>
      <c r="E4" s="11" t="s">
        <v>118</v>
      </c>
      <c r="F4" s="11" t="s">
        <v>119</v>
      </c>
      <c r="G4" s="11" t="s">
        <v>120</v>
      </c>
      <c r="H4" s="11" t="s">
        <v>121</v>
      </c>
      <c r="I4" s="11" t="s">
        <v>122</v>
      </c>
      <c r="J4" s="11" t="s">
        <v>123</v>
      </c>
      <c r="K4" s="11" t="s">
        <v>124</v>
      </c>
      <c r="L4" s="11" t="s">
        <v>125</v>
      </c>
      <c r="M4" s="28" t="s">
        <v>126</v>
      </c>
      <c r="N4" s="28" t="s">
        <v>127</v>
      </c>
      <c r="O4" s="22" t="s">
        <v>128</v>
      </c>
      <c r="P4" s="117" t="s">
        <v>129</v>
      </c>
      <c r="Q4" s="28" t="s">
        <v>130</v>
      </c>
      <c r="R4" s="28" t="s">
        <v>131</v>
      </c>
      <c r="S4" s="28" t="s">
        <v>132</v>
      </c>
      <c r="T4" s="161" t="s">
        <v>133</v>
      </c>
      <c r="U4" s="28" t="s">
        <v>134</v>
      </c>
      <c r="V4" s="162" t="s">
        <v>135</v>
      </c>
      <c r="W4" s="28" t="s">
        <v>136</v>
      </c>
      <c r="X4" s="28" t="s">
        <v>137</v>
      </c>
      <c r="Y4" s="28" t="s">
        <v>138</v>
      </c>
      <c r="Z4" s="29" t="s">
        <v>139</v>
      </c>
      <c r="AA4" s="29" t="s">
        <v>140</v>
      </c>
      <c r="AB4" s="28" t="s">
        <v>141</v>
      </c>
      <c r="AC4" s="28" t="s">
        <v>142</v>
      </c>
      <c r="AD4" s="9" t="s">
        <v>122</v>
      </c>
      <c r="AE4" s="24" t="s">
        <v>143</v>
      </c>
      <c r="AF4" s="9" t="s">
        <v>144</v>
      </c>
      <c r="AG4" s="24" t="s">
        <v>145</v>
      </c>
      <c r="AH4" s="24" t="s">
        <v>146</v>
      </c>
      <c r="AI4" s="24" t="s">
        <v>147</v>
      </c>
      <c r="AJ4" s="24" t="s">
        <v>148</v>
      </c>
      <c r="AK4" s="24" t="s">
        <v>149</v>
      </c>
      <c r="AL4" s="9" t="s">
        <v>150</v>
      </c>
    </row>
    <row r="5" s="139" customFormat="1" ht="24.95" customHeight="1" spans="1:40">
      <c r="A5" s="148">
        <v>1</v>
      </c>
      <c r="B5" s="149" t="s">
        <v>151</v>
      </c>
      <c r="C5" s="150">
        <v>511921001416</v>
      </c>
      <c r="D5" s="151" t="s">
        <v>152</v>
      </c>
      <c r="E5" s="151" t="s">
        <v>153</v>
      </c>
      <c r="F5" s="13">
        <v>43787</v>
      </c>
      <c r="G5" s="152">
        <v>9</v>
      </c>
      <c r="H5" s="151" t="s">
        <v>154</v>
      </c>
      <c r="I5" s="159" t="s">
        <v>155</v>
      </c>
      <c r="J5" s="160">
        <v>800</v>
      </c>
      <c r="K5" s="14">
        <v>23</v>
      </c>
      <c r="L5" s="14">
        <v>7</v>
      </c>
      <c r="M5" s="14">
        <v>108900</v>
      </c>
      <c r="N5" s="14">
        <v>9637.17</v>
      </c>
      <c r="O5" s="14">
        <f t="shared" ref="O5:O11" si="0">ROUND((M5+N5)*0.97/L5,2)</f>
        <v>16425.86</v>
      </c>
      <c r="P5" s="14">
        <f>J5*$A$15</f>
        <v>9600</v>
      </c>
      <c r="Q5" s="14">
        <f t="shared" ref="Q5:Q11" si="1">4500*12</f>
        <v>54000</v>
      </c>
      <c r="R5" s="14">
        <v>5731.2</v>
      </c>
      <c r="S5" s="14">
        <v>8032</v>
      </c>
      <c r="T5" s="14">
        <f>ROUND(AI5*0.12*6.38*1.2,2)</f>
        <v>28399.47</v>
      </c>
      <c r="U5" s="14">
        <v>360</v>
      </c>
      <c r="V5" s="14">
        <f>680</f>
        <v>680</v>
      </c>
      <c r="W5" s="14">
        <f>371*4+1000</f>
        <v>2484</v>
      </c>
      <c r="X5" s="14">
        <v>3210</v>
      </c>
      <c r="Y5" s="14">
        <v>8000</v>
      </c>
      <c r="Z5" s="14">
        <f t="shared" ref="Z5:Z11" si="2">80*12</f>
        <v>960</v>
      </c>
      <c r="AA5" s="14">
        <v>40</v>
      </c>
      <c r="AB5" s="14">
        <f>ROUND(SUM(O5:AA5),2)</f>
        <v>137922.53</v>
      </c>
      <c r="AC5" s="14">
        <f>(G5-1)*AG5*12*通江农村客运车辆成本信息核定表!$E$8</f>
        <v>5591.04</v>
      </c>
      <c r="AD5" s="159" t="s">
        <v>155</v>
      </c>
      <c r="AE5" s="14">
        <v>23</v>
      </c>
      <c r="AF5" s="14">
        <v>8</v>
      </c>
      <c r="AG5" s="14">
        <f t="shared" ref="AG5:AG8" si="3">AH5*2*2</f>
        <v>112</v>
      </c>
      <c r="AH5" s="14">
        <v>28</v>
      </c>
      <c r="AI5" s="14">
        <f t="shared" ref="AI5:AI11" si="4">AE5*AG5*12</f>
        <v>30912</v>
      </c>
      <c r="AJ5" s="14"/>
      <c r="AK5" s="14"/>
      <c r="AL5" s="14">
        <f t="shared" ref="AL5:AL11" si="5">AF5*AC5</f>
        <v>44728.32</v>
      </c>
      <c r="AN5" s="166"/>
    </row>
    <row r="6" s="139" customFormat="1" ht="24.95" customHeight="1" spans="1:40">
      <c r="A6" s="148">
        <v>2</v>
      </c>
      <c r="B6" s="149" t="s">
        <v>162</v>
      </c>
      <c r="C6" s="153" t="s">
        <v>163</v>
      </c>
      <c r="D6" s="151" t="s">
        <v>164</v>
      </c>
      <c r="E6" s="151" t="s">
        <v>165</v>
      </c>
      <c r="F6" s="13">
        <v>43284</v>
      </c>
      <c r="G6" s="152">
        <v>11</v>
      </c>
      <c r="H6" s="151" t="s">
        <v>166</v>
      </c>
      <c r="I6" s="159" t="s">
        <v>167</v>
      </c>
      <c r="J6" s="160">
        <v>1000</v>
      </c>
      <c r="K6" s="14">
        <v>43</v>
      </c>
      <c r="L6" s="14">
        <v>7</v>
      </c>
      <c r="M6" s="14">
        <v>112000</v>
      </c>
      <c r="N6" s="14">
        <v>9655.17</v>
      </c>
      <c r="O6" s="14">
        <f t="shared" si="0"/>
        <v>16857.93</v>
      </c>
      <c r="P6" s="14">
        <f t="shared" ref="P5:P11" si="6">J6*$A$15</f>
        <v>12000</v>
      </c>
      <c r="Q6" s="14">
        <f t="shared" si="1"/>
        <v>54000</v>
      </c>
      <c r="R6" s="14">
        <v>5731.2</v>
      </c>
      <c r="S6" s="14">
        <v>9778.08</v>
      </c>
      <c r="T6" s="14">
        <f t="shared" ref="T6:T11" si="7">ROUND(AI6*0.12*6.38*1.2,2)</f>
        <v>53094.67</v>
      </c>
      <c r="U6" s="14">
        <v>360</v>
      </c>
      <c r="V6" s="14">
        <v>850</v>
      </c>
      <c r="W6" s="14">
        <f t="shared" ref="W6:W8" si="8">371*4+1000</f>
        <v>2484</v>
      </c>
      <c r="X6" s="14">
        <v>3210</v>
      </c>
      <c r="Y6" s="14">
        <v>8200</v>
      </c>
      <c r="Z6" s="14">
        <f t="shared" si="2"/>
        <v>960</v>
      </c>
      <c r="AA6" s="14">
        <v>40</v>
      </c>
      <c r="AB6" s="14">
        <f t="shared" ref="AB6:AB11" si="9">ROUND(SUM(O6:AA6),2)</f>
        <v>167565.88</v>
      </c>
      <c r="AC6" s="14">
        <f>(G6-1)*AG6*12*通江农村客运车辆成本信息核定表!$E$8</f>
        <v>6988.8</v>
      </c>
      <c r="AD6" s="159" t="s">
        <v>167</v>
      </c>
      <c r="AE6" s="14">
        <v>43</v>
      </c>
      <c r="AF6" s="14">
        <v>14</v>
      </c>
      <c r="AG6" s="14">
        <f t="shared" si="3"/>
        <v>112</v>
      </c>
      <c r="AH6" s="14">
        <v>28</v>
      </c>
      <c r="AI6" s="14">
        <f t="shared" si="4"/>
        <v>57792</v>
      </c>
      <c r="AJ6" s="14"/>
      <c r="AK6" s="14"/>
      <c r="AL6" s="14">
        <f t="shared" si="5"/>
        <v>97843.2</v>
      </c>
      <c r="AN6" s="166"/>
    </row>
    <row r="7" s="139" customFormat="1" ht="24.95" customHeight="1" spans="1:40">
      <c r="A7" s="148">
        <v>3</v>
      </c>
      <c r="B7" s="151" t="s">
        <v>168</v>
      </c>
      <c r="C7" s="153" t="s">
        <v>169</v>
      </c>
      <c r="D7" s="149" t="s">
        <v>170</v>
      </c>
      <c r="E7" s="151" t="s">
        <v>171</v>
      </c>
      <c r="F7" s="13">
        <v>43714</v>
      </c>
      <c r="G7" s="152">
        <v>11</v>
      </c>
      <c r="H7" s="151" t="s">
        <v>166</v>
      </c>
      <c r="I7" s="159" t="s">
        <v>167</v>
      </c>
      <c r="J7" s="160">
        <v>1000</v>
      </c>
      <c r="K7" s="14">
        <v>43</v>
      </c>
      <c r="L7" s="14">
        <v>7</v>
      </c>
      <c r="M7" s="14">
        <v>147000</v>
      </c>
      <c r="N7" s="14">
        <v>13008.85</v>
      </c>
      <c r="O7" s="14">
        <f t="shared" si="0"/>
        <v>22172.65</v>
      </c>
      <c r="P7" s="14">
        <f t="shared" si="6"/>
        <v>12000</v>
      </c>
      <c r="Q7" s="14">
        <f t="shared" si="1"/>
        <v>54000</v>
      </c>
      <c r="R7" s="14">
        <v>5731.2</v>
      </c>
      <c r="S7" s="14">
        <v>8772.43</v>
      </c>
      <c r="T7" s="14">
        <f t="shared" si="7"/>
        <v>53094.67</v>
      </c>
      <c r="U7" s="14">
        <v>360</v>
      </c>
      <c r="V7" s="14">
        <v>850</v>
      </c>
      <c r="W7" s="14">
        <f t="shared" si="8"/>
        <v>2484</v>
      </c>
      <c r="X7" s="14">
        <v>3210</v>
      </c>
      <c r="Y7" s="14">
        <v>8200</v>
      </c>
      <c r="Z7" s="14">
        <f t="shared" si="2"/>
        <v>960</v>
      </c>
      <c r="AA7" s="14">
        <v>40</v>
      </c>
      <c r="AB7" s="14">
        <f t="shared" si="9"/>
        <v>171874.95</v>
      </c>
      <c r="AC7" s="14">
        <f>(G7-1)*AG7*12*通江农村客运车辆成本信息核定表!$E$8</f>
        <v>6988.8</v>
      </c>
      <c r="AD7" s="159" t="s">
        <v>167</v>
      </c>
      <c r="AE7" s="14">
        <v>43</v>
      </c>
      <c r="AF7" s="14">
        <v>14</v>
      </c>
      <c r="AG7" s="14">
        <f t="shared" si="3"/>
        <v>112</v>
      </c>
      <c r="AH7" s="14">
        <v>28</v>
      </c>
      <c r="AI7" s="14">
        <f t="shared" si="4"/>
        <v>57792</v>
      </c>
      <c r="AJ7" s="14"/>
      <c r="AK7" s="14"/>
      <c r="AL7" s="14">
        <f t="shared" si="5"/>
        <v>97843.2</v>
      </c>
      <c r="AN7" s="166"/>
    </row>
    <row r="8" s="139" customFormat="1" ht="24.95" customHeight="1" spans="1:40">
      <c r="A8" s="148">
        <v>4</v>
      </c>
      <c r="B8" s="149" t="s">
        <v>176</v>
      </c>
      <c r="C8" s="153" t="s">
        <v>177</v>
      </c>
      <c r="D8" s="149" t="s">
        <v>178</v>
      </c>
      <c r="E8" s="151" t="s">
        <v>179</v>
      </c>
      <c r="F8" s="13">
        <v>42631</v>
      </c>
      <c r="G8" s="152">
        <v>14</v>
      </c>
      <c r="H8" s="151" t="s">
        <v>174</v>
      </c>
      <c r="I8" s="159" t="s">
        <v>180</v>
      </c>
      <c r="J8" s="160">
        <v>1100</v>
      </c>
      <c r="K8" s="14">
        <v>47</v>
      </c>
      <c r="L8" s="14">
        <v>7</v>
      </c>
      <c r="M8" s="14">
        <v>94800</v>
      </c>
      <c r="N8" s="14">
        <v>8102.56</v>
      </c>
      <c r="O8" s="14">
        <f t="shared" si="0"/>
        <v>14259.35</v>
      </c>
      <c r="P8" s="14">
        <f t="shared" si="6"/>
        <v>13200</v>
      </c>
      <c r="Q8" s="14">
        <f t="shared" si="1"/>
        <v>54000</v>
      </c>
      <c r="R8" s="14">
        <v>5731.2</v>
      </c>
      <c r="S8" s="14">
        <v>12398.58</v>
      </c>
      <c r="T8" s="14">
        <f t="shared" si="7"/>
        <v>58033.7</v>
      </c>
      <c r="U8" s="14">
        <v>360</v>
      </c>
      <c r="V8" s="14">
        <v>850</v>
      </c>
      <c r="W8" s="14">
        <f t="shared" si="8"/>
        <v>2484</v>
      </c>
      <c r="X8" s="14">
        <v>3500</v>
      </c>
      <c r="Y8" s="14">
        <v>8500</v>
      </c>
      <c r="Z8" s="14">
        <f t="shared" si="2"/>
        <v>960</v>
      </c>
      <c r="AA8" s="14">
        <v>40</v>
      </c>
      <c r="AB8" s="14">
        <f t="shared" si="9"/>
        <v>174316.83</v>
      </c>
      <c r="AC8" s="14">
        <f>(G8-1)*AG8*12*通江农村客运车辆成本信息核定表!$E$8</f>
        <v>9085.44</v>
      </c>
      <c r="AD8" s="159" t="s">
        <v>180</v>
      </c>
      <c r="AE8" s="14">
        <v>47</v>
      </c>
      <c r="AF8" s="14">
        <v>17</v>
      </c>
      <c r="AG8" s="14">
        <f t="shared" si="3"/>
        <v>112</v>
      </c>
      <c r="AH8" s="14">
        <v>28</v>
      </c>
      <c r="AI8" s="14">
        <f t="shared" si="4"/>
        <v>63168</v>
      </c>
      <c r="AJ8" s="14"/>
      <c r="AK8" s="14"/>
      <c r="AL8" s="14">
        <f t="shared" si="5"/>
        <v>154452.48</v>
      </c>
      <c r="AN8" s="166"/>
    </row>
    <row r="9" s="139" customFormat="1" ht="24.95" customHeight="1" spans="1:40">
      <c r="A9" s="148">
        <v>5</v>
      </c>
      <c r="B9" s="149" t="s">
        <v>196</v>
      </c>
      <c r="C9" s="153" t="s">
        <v>197</v>
      </c>
      <c r="D9" s="149" t="s">
        <v>198</v>
      </c>
      <c r="E9" s="151" t="s">
        <v>153</v>
      </c>
      <c r="F9" s="13">
        <v>43599</v>
      </c>
      <c r="G9" s="152">
        <v>19</v>
      </c>
      <c r="H9" s="151" t="s">
        <v>174</v>
      </c>
      <c r="I9" s="159" t="s">
        <v>199</v>
      </c>
      <c r="J9" s="160">
        <v>1300</v>
      </c>
      <c r="K9" s="14">
        <v>63</v>
      </c>
      <c r="L9" s="14">
        <v>7</v>
      </c>
      <c r="M9" s="14">
        <v>140000</v>
      </c>
      <c r="N9" s="14">
        <v>13200</v>
      </c>
      <c r="O9" s="14">
        <f t="shared" si="0"/>
        <v>21229.14</v>
      </c>
      <c r="P9" s="14">
        <f t="shared" si="6"/>
        <v>15600</v>
      </c>
      <c r="Q9" s="14">
        <f t="shared" si="1"/>
        <v>54000</v>
      </c>
      <c r="R9" s="14">
        <v>5731.2</v>
      </c>
      <c r="S9" s="14">
        <v>15375.97</v>
      </c>
      <c r="T9" s="14">
        <f t="shared" si="7"/>
        <v>38894.93</v>
      </c>
      <c r="U9" s="14">
        <v>360</v>
      </c>
      <c r="V9" s="14">
        <v>850</v>
      </c>
      <c r="W9" s="14">
        <f>490*4+1000</f>
        <v>2960</v>
      </c>
      <c r="X9" s="14">
        <v>4000</v>
      </c>
      <c r="Y9" s="14">
        <v>10500</v>
      </c>
      <c r="Z9" s="14">
        <f t="shared" si="2"/>
        <v>960</v>
      </c>
      <c r="AA9" s="14">
        <v>40</v>
      </c>
      <c r="AB9" s="14">
        <f t="shared" si="9"/>
        <v>170501.24</v>
      </c>
      <c r="AC9" s="14">
        <f>(G9-1)*AG9*12*通江农村客运车辆成本信息核定表!$E$8</f>
        <v>6289.92</v>
      </c>
      <c r="AD9" s="159" t="s">
        <v>199</v>
      </c>
      <c r="AE9" s="14">
        <v>63</v>
      </c>
      <c r="AF9" s="14">
        <v>22</v>
      </c>
      <c r="AG9" s="14">
        <f>AH9*2*1</f>
        <v>56</v>
      </c>
      <c r="AH9" s="14">
        <v>28</v>
      </c>
      <c r="AI9" s="14">
        <f t="shared" si="4"/>
        <v>42336</v>
      </c>
      <c r="AJ9" s="14"/>
      <c r="AK9" s="14"/>
      <c r="AL9" s="14">
        <f t="shared" si="5"/>
        <v>138378.24</v>
      </c>
      <c r="AN9" s="166"/>
    </row>
    <row r="10" s="139" customFormat="1" ht="24.95" customHeight="1" spans="1:40">
      <c r="A10" s="148">
        <v>6</v>
      </c>
      <c r="B10" s="149" t="s">
        <v>200</v>
      </c>
      <c r="C10" s="150">
        <v>511921001438</v>
      </c>
      <c r="D10" s="151" t="s">
        <v>201</v>
      </c>
      <c r="E10" s="151" t="s">
        <v>165</v>
      </c>
      <c r="F10" s="13">
        <v>43410</v>
      </c>
      <c r="G10" s="152">
        <v>9</v>
      </c>
      <c r="H10" s="151" t="s">
        <v>194</v>
      </c>
      <c r="I10" s="159" t="s">
        <v>202</v>
      </c>
      <c r="J10" s="160">
        <v>800</v>
      </c>
      <c r="K10" s="14">
        <v>40</v>
      </c>
      <c r="L10" s="14">
        <v>7</v>
      </c>
      <c r="M10" s="14">
        <v>95800</v>
      </c>
      <c r="N10" s="14">
        <v>8258.62</v>
      </c>
      <c r="O10" s="14">
        <f t="shared" si="0"/>
        <v>14419.55</v>
      </c>
      <c r="P10" s="14">
        <f t="shared" si="6"/>
        <v>9600</v>
      </c>
      <c r="Q10" s="14">
        <f t="shared" si="1"/>
        <v>54000</v>
      </c>
      <c r="R10" s="14">
        <v>5731.2</v>
      </c>
      <c r="S10" s="14">
        <v>8031.4</v>
      </c>
      <c r="T10" s="14">
        <f t="shared" si="7"/>
        <v>49390.39</v>
      </c>
      <c r="U10" s="14">
        <v>360</v>
      </c>
      <c r="V10" s="14">
        <f>680</f>
        <v>680</v>
      </c>
      <c r="W10" s="14">
        <v>2484</v>
      </c>
      <c r="X10" s="14">
        <v>3210</v>
      </c>
      <c r="Y10" s="14">
        <v>8000</v>
      </c>
      <c r="Z10" s="14">
        <f t="shared" si="2"/>
        <v>960</v>
      </c>
      <c r="AA10" s="14">
        <v>40</v>
      </c>
      <c r="AB10" s="14">
        <f t="shared" si="9"/>
        <v>156906.54</v>
      </c>
      <c r="AC10" s="14">
        <f>(G10-1)*AG10*12*通江农村客运车辆成本信息核定表!$E$8</f>
        <v>5591.04</v>
      </c>
      <c r="AD10" s="159" t="s">
        <v>202</v>
      </c>
      <c r="AE10" s="14">
        <v>40</v>
      </c>
      <c r="AF10" s="14">
        <v>13</v>
      </c>
      <c r="AG10" s="14">
        <f>AH10*2*2</f>
        <v>112</v>
      </c>
      <c r="AH10" s="14">
        <v>28</v>
      </c>
      <c r="AI10" s="14">
        <f t="shared" si="4"/>
        <v>53760</v>
      </c>
      <c r="AJ10" s="14"/>
      <c r="AK10" s="14"/>
      <c r="AL10" s="14">
        <f t="shared" si="5"/>
        <v>72683.52</v>
      </c>
      <c r="AN10" s="166"/>
    </row>
    <row r="11" s="139" customFormat="1" ht="24.95" customHeight="1" spans="1:40">
      <c r="A11" s="148">
        <v>7</v>
      </c>
      <c r="B11" s="149" t="s">
        <v>203</v>
      </c>
      <c r="C11" s="153" t="s">
        <v>204</v>
      </c>
      <c r="D11" s="149" t="s">
        <v>205</v>
      </c>
      <c r="E11" s="151" t="s">
        <v>165</v>
      </c>
      <c r="F11" s="13">
        <v>43579</v>
      </c>
      <c r="G11" s="152">
        <v>14</v>
      </c>
      <c r="H11" s="151" t="s">
        <v>174</v>
      </c>
      <c r="I11" s="159" t="s">
        <v>206</v>
      </c>
      <c r="J11" s="160">
        <v>1100</v>
      </c>
      <c r="K11" s="14">
        <v>90</v>
      </c>
      <c r="L11" s="14">
        <v>7</v>
      </c>
      <c r="M11" s="14">
        <v>116000</v>
      </c>
      <c r="N11" s="14">
        <v>10265.49</v>
      </c>
      <c r="O11" s="14">
        <f t="shared" si="0"/>
        <v>17496.79</v>
      </c>
      <c r="P11" s="14">
        <f t="shared" si="6"/>
        <v>13200</v>
      </c>
      <c r="Q11" s="14">
        <f t="shared" si="1"/>
        <v>54000</v>
      </c>
      <c r="R11" s="14">
        <v>5731.2</v>
      </c>
      <c r="S11" s="14">
        <v>13032.49</v>
      </c>
      <c r="T11" s="14">
        <f t="shared" si="7"/>
        <v>55564.19</v>
      </c>
      <c r="U11" s="14">
        <v>360</v>
      </c>
      <c r="V11" s="14">
        <v>850</v>
      </c>
      <c r="W11" s="14">
        <f>371*4+1000</f>
        <v>2484</v>
      </c>
      <c r="X11" s="14">
        <v>3500</v>
      </c>
      <c r="Y11" s="14">
        <v>8500</v>
      </c>
      <c r="Z11" s="14">
        <f t="shared" si="2"/>
        <v>960</v>
      </c>
      <c r="AA11" s="14">
        <v>40</v>
      </c>
      <c r="AB11" s="14">
        <f t="shared" si="9"/>
        <v>175718.67</v>
      </c>
      <c r="AC11" s="14">
        <f>(G11-1)*AG11*12*通江农村客运车辆成本信息核定表!$E$8</f>
        <v>4542.72</v>
      </c>
      <c r="AD11" s="159" t="s">
        <v>206</v>
      </c>
      <c r="AE11" s="14">
        <v>90</v>
      </c>
      <c r="AF11" s="14">
        <v>31</v>
      </c>
      <c r="AG11" s="14">
        <f>AH11*2*1</f>
        <v>56</v>
      </c>
      <c r="AH11" s="14">
        <v>28</v>
      </c>
      <c r="AI11" s="14">
        <f t="shared" si="4"/>
        <v>60480</v>
      </c>
      <c r="AJ11" s="14"/>
      <c r="AK11" s="14"/>
      <c r="AL11" s="14">
        <f t="shared" si="5"/>
        <v>140824.32</v>
      </c>
      <c r="AN11" s="166"/>
    </row>
    <row r="12" s="140" customFormat="1" ht="24.95" customHeight="1" spans="1:41">
      <c r="A12" s="106" t="s">
        <v>216</v>
      </c>
      <c r="B12" s="107"/>
      <c r="C12" s="154"/>
      <c r="D12" s="154"/>
      <c r="E12" s="154"/>
      <c r="F12" s="154"/>
      <c r="G12" s="62">
        <f>SUM(G5:G11)</f>
        <v>87</v>
      </c>
      <c r="H12" s="155"/>
      <c r="I12" s="155"/>
      <c r="J12" s="156">
        <f>SUM(J5:J11)</f>
        <v>7100</v>
      </c>
      <c r="K12" s="19">
        <f>SUM(K5:K11)</f>
        <v>349</v>
      </c>
      <c r="L12" s="19">
        <f>SUM(L5:L11)</f>
        <v>49</v>
      </c>
      <c r="M12" s="19">
        <f>SUM(M8:M11)</f>
        <v>446600</v>
      </c>
      <c r="N12" s="19">
        <f>SUM(N8:N11)</f>
        <v>39826.67</v>
      </c>
      <c r="O12" s="19">
        <f t="shared" ref="O12:AC12" si="10">SUM(O5:O11)</f>
        <v>122861.27</v>
      </c>
      <c r="P12" s="19">
        <f t="shared" si="10"/>
        <v>85200</v>
      </c>
      <c r="Q12" s="19">
        <f t="shared" si="10"/>
        <v>378000</v>
      </c>
      <c r="R12" s="19">
        <f t="shared" si="10"/>
        <v>40118.4</v>
      </c>
      <c r="S12" s="19">
        <f t="shared" si="10"/>
        <v>75420.95</v>
      </c>
      <c r="T12" s="19">
        <f t="shared" si="10"/>
        <v>336472.02</v>
      </c>
      <c r="U12" s="19">
        <f t="shared" si="10"/>
        <v>2520</v>
      </c>
      <c r="V12" s="19">
        <f t="shared" si="10"/>
        <v>5610</v>
      </c>
      <c r="W12" s="19">
        <f t="shared" si="10"/>
        <v>17864</v>
      </c>
      <c r="X12" s="19">
        <f t="shared" si="10"/>
        <v>23840</v>
      </c>
      <c r="Y12" s="19">
        <f t="shared" si="10"/>
        <v>59900</v>
      </c>
      <c r="Z12" s="19">
        <f t="shared" si="10"/>
        <v>6720</v>
      </c>
      <c r="AA12" s="19">
        <f t="shared" si="10"/>
        <v>280</v>
      </c>
      <c r="AB12" s="19">
        <f t="shared" si="10"/>
        <v>1154806.64</v>
      </c>
      <c r="AC12" s="19">
        <f t="shared" si="10"/>
        <v>45077.76</v>
      </c>
      <c r="AD12" s="33" t="s">
        <v>216</v>
      </c>
      <c r="AE12" s="19">
        <f t="shared" ref="AE12:AL12" si="11">SUM(AE5:AE11)</f>
        <v>349</v>
      </c>
      <c r="AF12" s="19">
        <f t="shared" si="11"/>
        <v>119</v>
      </c>
      <c r="AG12" s="19">
        <f t="shared" si="11"/>
        <v>672</v>
      </c>
      <c r="AH12" s="19">
        <f t="shared" si="11"/>
        <v>196</v>
      </c>
      <c r="AI12" s="19">
        <f t="shared" si="11"/>
        <v>366240</v>
      </c>
      <c r="AJ12" s="19">
        <f t="shared" si="11"/>
        <v>0</v>
      </c>
      <c r="AK12" s="19">
        <f t="shared" si="11"/>
        <v>0</v>
      </c>
      <c r="AL12" s="19">
        <f t="shared" si="11"/>
        <v>746753.28</v>
      </c>
      <c r="AO12" s="167"/>
    </row>
    <row r="13" s="140" customFormat="1" ht="24.95" customHeight="1" spans="1:38">
      <c r="A13" s="18" t="s">
        <v>217</v>
      </c>
      <c r="B13" s="16"/>
      <c r="C13" s="154"/>
      <c r="D13" s="154"/>
      <c r="E13" s="154"/>
      <c r="F13" s="154"/>
      <c r="G13" s="62">
        <f>ROUND(G12/E15,2)</f>
        <v>12.43</v>
      </c>
      <c r="H13" s="156"/>
      <c r="I13" s="156"/>
      <c r="J13" s="156">
        <v>1014</v>
      </c>
      <c r="K13" s="156">
        <f t="shared" ref="K13:Q13" si="12">ROUND(K12/$E$15,2)</f>
        <v>49.86</v>
      </c>
      <c r="L13" s="156">
        <f t="shared" si="12"/>
        <v>7</v>
      </c>
      <c r="M13" s="19">
        <f t="shared" si="12"/>
        <v>63800</v>
      </c>
      <c r="N13" s="19">
        <f t="shared" si="12"/>
        <v>5689.52</v>
      </c>
      <c r="O13" s="19">
        <f t="shared" si="12"/>
        <v>17551.61</v>
      </c>
      <c r="P13" s="19">
        <f t="shared" si="12"/>
        <v>12171.43</v>
      </c>
      <c r="Q13" s="19">
        <f t="shared" si="12"/>
        <v>54000</v>
      </c>
      <c r="R13" s="19">
        <f t="shared" ref="R13:AC13" si="13">ROUND(R12/$E$15,2)</f>
        <v>5731.2</v>
      </c>
      <c r="S13" s="19">
        <f t="shared" si="13"/>
        <v>10774.42</v>
      </c>
      <c r="T13" s="19">
        <f t="shared" si="13"/>
        <v>48067.43</v>
      </c>
      <c r="U13" s="19">
        <f t="shared" si="13"/>
        <v>360</v>
      </c>
      <c r="V13" s="19">
        <f t="shared" si="13"/>
        <v>801.43</v>
      </c>
      <c r="W13" s="19">
        <f t="shared" si="13"/>
        <v>2552</v>
      </c>
      <c r="X13" s="19">
        <f t="shared" si="13"/>
        <v>3405.71</v>
      </c>
      <c r="Y13" s="19">
        <f t="shared" si="13"/>
        <v>8557.14</v>
      </c>
      <c r="Z13" s="19">
        <f t="shared" si="13"/>
        <v>960</v>
      </c>
      <c r="AA13" s="19">
        <f t="shared" si="13"/>
        <v>40</v>
      </c>
      <c r="AB13" s="19">
        <f>ROUND(AB12/$E$15,2)-0.01</f>
        <v>164972.37</v>
      </c>
      <c r="AC13" s="19">
        <f t="shared" si="13"/>
        <v>6439.68</v>
      </c>
      <c r="AD13" s="33" t="s">
        <v>217</v>
      </c>
      <c r="AE13" s="19">
        <f>ROUND(AE12/$E$15,2)</f>
        <v>49.86</v>
      </c>
      <c r="AF13" s="19">
        <f t="shared" ref="AF13:AL13" si="14">ROUND(AF12/$E$15,2)</f>
        <v>17</v>
      </c>
      <c r="AG13" s="19">
        <f t="shared" si="14"/>
        <v>96</v>
      </c>
      <c r="AH13" s="19">
        <f t="shared" si="14"/>
        <v>28</v>
      </c>
      <c r="AI13" s="19">
        <f t="shared" si="14"/>
        <v>52320</v>
      </c>
      <c r="AJ13" s="19">
        <f t="shared" si="14"/>
        <v>0</v>
      </c>
      <c r="AK13" s="19">
        <f t="shared" si="14"/>
        <v>0</v>
      </c>
      <c r="AL13" s="19">
        <f t="shared" si="14"/>
        <v>106679.04</v>
      </c>
    </row>
    <row r="14" ht="14.25" customHeight="1"/>
    <row r="15" ht="14.25" customHeight="1" spans="1:38">
      <c r="A15" s="41">
        <v>12</v>
      </c>
      <c r="B15" s="41">
        <v>5.5</v>
      </c>
      <c r="C15" s="41">
        <v>0.6</v>
      </c>
      <c r="D15" s="41">
        <v>1.1</v>
      </c>
      <c r="E15" s="41">
        <v>7</v>
      </c>
      <c r="X15" s="163"/>
      <c r="Y15" s="163"/>
      <c r="AB15" s="43"/>
      <c r="AC15" s="43"/>
      <c r="AL15" s="144"/>
    </row>
    <row r="16" ht="14.25" customHeight="1" spans="28:28">
      <c r="AB16" s="43"/>
    </row>
  </sheetData>
  <sheetProtection formatCells="0" insertHyperlinks="0" autoFilter="0"/>
  <mergeCells count="5">
    <mergeCell ref="A2:W2"/>
    <mergeCell ref="X2:AL2"/>
    <mergeCell ref="AJ3:AL3"/>
    <mergeCell ref="A12:B12"/>
    <mergeCell ref="A13:B13"/>
  </mergeCells>
  <pageMargins left="0.747916666666667" right="0.511805555555556" top="0.802777777777778" bottom="0.802777777777778" header="0.5" footer="0.5"/>
  <pageSetup paperSize="9" scale="75" fitToHeight="0" pageOrder="overThenDown" orientation="landscape" horizontalDpi="600"/>
  <headerFooter>
    <oddFooter>&amp;C第 &amp;P 页，共 &amp;N 页</oddFooter>
  </headerFooter>
  <colBreaks count="1" manualBreakCount="1">
    <brk id="23" max="12" man="1"/>
  </colBreaks>
  <ignoredErrors>
    <ignoredError sqref="AB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8"/>
  <sheetViews>
    <sheetView showZeros="0" view="pageBreakPreview" zoomScaleNormal="100" zoomScaleSheetLayoutView="100" workbookViewId="0">
      <pane xSplit="3" ySplit="4" topLeftCell="U3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4.63333333333333" style="88" customWidth="1"/>
    <col min="2" max="2" width="8.38333333333333" style="89" customWidth="1"/>
    <col min="3" max="3" width="12" style="89" customWidth="1"/>
    <col min="4" max="4" width="16.3833333333333" style="90" customWidth="1"/>
    <col min="5" max="5" width="9.88333333333333" style="88" customWidth="1"/>
    <col min="6" max="6" width="14.5" style="88" customWidth="1"/>
    <col min="7" max="7" width="5.38333333333333" style="88" customWidth="1"/>
    <col min="8" max="8" width="11.75" style="89" customWidth="1"/>
    <col min="9" max="9" width="17.6333333333333" style="91" hidden="1" customWidth="1"/>
    <col min="10" max="12" width="10.75" style="91" hidden="1" customWidth="1"/>
    <col min="13" max="13" width="8.38333333333333" style="89" hidden="1" customWidth="1"/>
    <col min="14" max="14" width="6.38333333333333" style="89" customWidth="1"/>
    <col min="15" max="18" width="7.63333333333333" style="92" customWidth="1"/>
    <col min="19" max="33" width="7.63333333333333" style="89" customWidth="1"/>
    <col min="34" max="34" width="10" style="89" customWidth="1"/>
    <col min="35" max="42" width="7.63333333333333" style="89" customWidth="1"/>
    <col min="43" max="44" width="9.63333333333333" style="89"/>
    <col min="45" max="16384" width="9" style="89"/>
  </cols>
  <sheetData>
    <row r="1" ht="13.5" spans="1:27">
      <c r="A1" s="93" t="s">
        <v>222</v>
      </c>
      <c r="AA1" s="119"/>
    </row>
    <row r="2" ht="21" customHeight="1" spans="1:42">
      <c r="A2" s="94" t="s">
        <v>111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20" t="s">
        <v>111</v>
      </c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="84" customFormat="1" ht="24.95" customHeight="1" spans="1:42">
      <c r="A3" s="95" t="s">
        <v>223</v>
      </c>
      <c r="D3" s="95"/>
      <c r="E3" s="96"/>
      <c r="F3" s="96"/>
      <c r="G3" s="96"/>
      <c r="I3" s="111"/>
      <c r="J3" s="111"/>
      <c r="K3" s="111"/>
      <c r="L3" s="111"/>
      <c r="O3" s="112"/>
      <c r="P3" s="112"/>
      <c r="Q3" s="112"/>
      <c r="R3" s="112"/>
      <c r="W3" s="116"/>
      <c r="X3" s="82" t="s">
        <v>113</v>
      </c>
      <c r="Y3" s="82"/>
      <c r="Z3" s="82"/>
      <c r="AA3" s="116"/>
      <c r="AF3" s="121"/>
      <c r="AG3" s="122"/>
      <c r="AH3" s="122"/>
      <c r="AI3" s="123"/>
      <c r="AJ3" s="123"/>
      <c r="AK3" s="123"/>
      <c r="AL3" s="123"/>
      <c r="AM3" s="123"/>
      <c r="AN3" s="123"/>
      <c r="AO3" s="123"/>
      <c r="AP3" s="124" t="s">
        <v>113</v>
      </c>
    </row>
    <row r="4" s="85" customFormat="1" ht="35.25" customHeight="1" spans="1:42">
      <c r="A4" s="97" t="s">
        <v>114</v>
      </c>
      <c r="B4" s="97" t="s">
        <v>224</v>
      </c>
      <c r="C4" s="97" t="s">
        <v>225</v>
      </c>
      <c r="D4" s="98" t="s">
        <v>226</v>
      </c>
      <c r="E4" s="98" t="s">
        <v>227</v>
      </c>
      <c r="F4" s="98" t="s">
        <v>228</v>
      </c>
      <c r="G4" s="97" t="s">
        <v>120</v>
      </c>
      <c r="H4" s="97" t="s">
        <v>229</v>
      </c>
      <c r="I4" s="98" t="s">
        <v>230</v>
      </c>
      <c r="J4" s="11" t="s">
        <v>124</v>
      </c>
      <c r="K4" s="10" t="s">
        <v>144</v>
      </c>
      <c r="L4" s="10" t="s">
        <v>123</v>
      </c>
      <c r="M4" s="97" t="s">
        <v>231</v>
      </c>
      <c r="N4" s="11" t="s">
        <v>125</v>
      </c>
      <c r="O4" s="113" t="s">
        <v>126</v>
      </c>
      <c r="P4" s="113" t="s">
        <v>127</v>
      </c>
      <c r="Q4" s="22" t="s">
        <v>128</v>
      </c>
      <c r="R4" s="117" t="s">
        <v>129</v>
      </c>
      <c r="S4" s="118" t="s">
        <v>232</v>
      </c>
      <c r="T4" s="28" t="s">
        <v>131</v>
      </c>
      <c r="U4" s="113" t="s">
        <v>132</v>
      </c>
      <c r="V4" s="118" t="s">
        <v>133</v>
      </c>
      <c r="W4" s="113" t="s">
        <v>134</v>
      </c>
      <c r="X4" s="113" t="s">
        <v>135</v>
      </c>
      <c r="Y4" s="113" t="s">
        <v>136</v>
      </c>
      <c r="Z4" s="28" t="s">
        <v>137</v>
      </c>
      <c r="AA4" s="28" t="s">
        <v>138</v>
      </c>
      <c r="AB4" s="29" t="s">
        <v>139</v>
      </c>
      <c r="AC4" s="29" t="s">
        <v>140</v>
      </c>
      <c r="AD4" s="29" t="s">
        <v>233</v>
      </c>
      <c r="AE4" s="29" t="s">
        <v>234</v>
      </c>
      <c r="AF4" s="113" t="s">
        <v>141</v>
      </c>
      <c r="AG4" s="113" t="s">
        <v>142</v>
      </c>
      <c r="AH4" s="9" t="s">
        <v>122</v>
      </c>
      <c r="AI4" s="24" t="s">
        <v>143</v>
      </c>
      <c r="AJ4" s="9" t="s">
        <v>144</v>
      </c>
      <c r="AK4" s="24" t="s">
        <v>145</v>
      </c>
      <c r="AL4" s="24" t="s">
        <v>146</v>
      </c>
      <c r="AM4" s="24" t="s">
        <v>147</v>
      </c>
      <c r="AN4" s="24" t="s">
        <v>148</v>
      </c>
      <c r="AO4" s="24" t="s">
        <v>149</v>
      </c>
      <c r="AP4" s="24" t="s">
        <v>150</v>
      </c>
    </row>
    <row r="5" s="86" customFormat="1" ht="24.95" customHeight="1" spans="1:42">
      <c r="A5" s="99">
        <v>1</v>
      </c>
      <c r="B5" s="99" t="s">
        <v>235</v>
      </c>
      <c r="C5" s="100" t="s">
        <v>236</v>
      </c>
      <c r="D5" s="101" t="s">
        <v>237</v>
      </c>
      <c r="E5" s="101" t="s">
        <v>238</v>
      </c>
      <c r="F5" s="99" t="s">
        <v>239</v>
      </c>
      <c r="G5" s="14">
        <v>9</v>
      </c>
      <c r="H5" s="102">
        <v>43823</v>
      </c>
      <c r="I5" s="100" t="s">
        <v>240</v>
      </c>
      <c r="J5" s="114">
        <v>95</v>
      </c>
      <c r="K5" s="114">
        <v>30</v>
      </c>
      <c r="L5" s="114">
        <v>580</v>
      </c>
      <c r="M5" s="114">
        <v>30</v>
      </c>
      <c r="N5" s="99">
        <v>7</v>
      </c>
      <c r="O5" s="14">
        <v>92000</v>
      </c>
      <c r="P5" s="14">
        <v>8141.59</v>
      </c>
      <c r="Q5" s="14">
        <f t="shared" ref="Q5:Q14" si="0">ROUND((O5+P5)*0.97/N5,2)</f>
        <v>13876.76</v>
      </c>
      <c r="R5" s="14">
        <f t="shared" ref="R5:R14" si="1">L5*$B$48</f>
        <v>6960</v>
      </c>
      <c r="S5" s="14">
        <f t="shared" ref="S5:S44" si="2">4500*12</f>
        <v>54000</v>
      </c>
      <c r="T5" s="14">
        <v>8198.4</v>
      </c>
      <c r="U5" s="14">
        <v>10876.83</v>
      </c>
      <c r="V5" s="14">
        <f>AM5*0.12*7.5*1.1</f>
        <v>63201.6</v>
      </c>
      <c r="W5" s="14">
        <v>360</v>
      </c>
      <c r="X5" s="14">
        <v>680</v>
      </c>
      <c r="Y5" s="14">
        <f>371*4</f>
        <v>1484</v>
      </c>
      <c r="Z5" s="14">
        <v>3210</v>
      </c>
      <c r="AA5" s="14">
        <v>8000</v>
      </c>
      <c r="AB5" s="14">
        <v>960</v>
      </c>
      <c r="AC5" s="14">
        <v>40</v>
      </c>
      <c r="AD5" s="14">
        <f>360*12</f>
        <v>4320</v>
      </c>
      <c r="AE5" s="14">
        <f>100*12</f>
        <v>1200</v>
      </c>
      <c r="AF5" s="14">
        <f>SUM(Q5:AE5)</f>
        <v>177367.59</v>
      </c>
      <c r="AG5" s="14">
        <f t="shared" ref="AG5:AG23" si="3">(G5-1)*AK5*12*0.55</f>
        <v>2956.8</v>
      </c>
      <c r="AH5" s="100" t="s">
        <v>240</v>
      </c>
      <c r="AI5" s="14">
        <v>95</v>
      </c>
      <c r="AJ5" s="14">
        <v>30</v>
      </c>
      <c r="AK5" s="14">
        <v>56</v>
      </c>
      <c r="AL5" s="14">
        <v>28</v>
      </c>
      <c r="AM5" s="14">
        <f>AI5*AK5*12</f>
        <v>63840</v>
      </c>
      <c r="AN5" s="14">
        <v>1645</v>
      </c>
      <c r="AO5" s="14">
        <v>7200</v>
      </c>
      <c r="AP5" s="14">
        <f>AG5*AJ5</f>
        <v>88704</v>
      </c>
    </row>
    <row r="6" s="86" customFormat="1" ht="24.95" customHeight="1" spans="1:42">
      <c r="A6" s="99">
        <v>2</v>
      </c>
      <c r="B6" s="99" t="s">
        <v>241</v>
      </c>
      <c r="C6" s="100" t="s">
        <v>242</v>
      </c>
      <c r="D6" s="101" t="s">
        <v>243</v>
      </c>
      <c r="E6" s="101" t="s">
        <v>244</v>
      </c>
      <c r="F6" s="99" t="s">
        <v>245</v>
      </c>
      <c r="G6" s="14">
        <v>14</v>
      </c>
      <c r="H6" s="102">
        <v>42964</v>
      </c>
      <c r="I6" s="100" t="s">
        <v>246</v>
      </c>
      <c r="J6" s="114">
        <v>72</v>
      </c>
      <c r="K6" s="114">
        <v>30</v>
      </c>
      <c r="L6" s="114">
        <v>700</v>
      </c>
      <c r="M6" s="114">
        <v>30</v>
      </c>
      <c r="N6" s="99">
        <v>7</v>
      </c>
      <c r="O6" s="14">
        <v>95300</v>
      </c>
      <c r="P6" s="14">
        <v>8145.3</v>
      </c>
      <c r="Q6" s="14">
        <f t="shared" si="0"/>
        <v>14334.56</v>
      </c>
      <c r="R6" s="14">
        <f t="shared" si="1"/>
        <v>8400</v>
      </c>
      <c r="S6" s="14">
        <f t="shared" si="2"/>
        <v>54000</v>
      </c>
      <c r="T6" s="14">
        <v>8198.4</v>
      </c>
      <c r="U6" s="14">
        <v>17383.14</v>
      </c>
      <c r="V6" s="14">
        <f>AM6*7.5*0.14*1.1</f>
        <v>55883.52</v>
      </c>
      <c r="W6" s="14">
        <v>360</v>
      </c>
      <c r="X6" s="14">
        <v>680</v>
      </c>
      <c r="Y6" s="14">
        <f t="shared" ref="Y6:Y15" si="4">371*4</f>
        <v>1484</v>
      </c>
      <c r="Z6" s="14">
        <v>3500</v>
      </c>
      <c r="AA6" s="14">
        <v>8500</v>
      </c>
      <c r="AB6" s="14">
        <v>960</v>
      </c>
      <c r="AC6" s="14">
        <v>40</v>
      </c>
      <c r="AD6" s="14">
        <f>450*12</f>
        <v>5400</v>
      </c>
      <c r="AE6" s="14">
        <f t="shared" ref="AE6:AE15" si="5">100*12</f>
        <v>1200</v>
      </c>
      <c r="AF6" s="14">
        <f>SUM(Q6:AE6)</f>
        <v>180323.62</v>
      </c>
      <c r="AG6" s="14">
        <f t="shared" si="3"/>
        <v>4804.8</v>
      </c>
      <c r="AH6" s="100" t="s">
        <v>246</v>
      </c>
      <c r="AI6" s="14">
        <v>72</v>
      </c>
      <c r="AJ6" s="14">
        <v>30</v>
      </c>
      <c r="AK6" s="14">
        <v>56</v>
      </c>
      <c r="AL6" s="14">
        <v>28</v>
      </c>
      <c r="AM6" s="14">
        <f t="shared" ref="AM6:AM44" si="6">AI6*AK6*12</f>
        <v>48384</v>
      </c>
      <c r="AN6" s="14">
        <v>1645</v>
      </c>
      <c r="AO6" s="14">
        <v>7200</v>
      </c>
      <c r="AP6" s="14">
        <f t="shared" ref="AP6:AP44" si="7">AG6*AJ6</f>
        <v>144144</v>
      </c>
    </row>
    <row r="7" s="86" customFormat="1" ht="24.95" customHeight="1" spans="1:42">
      <c r="A7" s="99">
        <v>3</v>
      </c>
      <c r="B7" s="99" t="s">
        <v>247</v>
      </c>
      <c r="C7" s="100" t="s">
        <v>248</v>
      </c>
      <c r="D7" s="101" t="s">
        <v>249</v>
      </c>
      <c r="E7" s="101" t="s">
        <v>250</v>
      </c>
      <c r="F7" s="99" t="s">
        <v>251</v>
      </c>
      <c r="G7" s="14">
        <v>19</v>
      </c>
      <c r="H7" s="102">
        <v>43322</v>
      </c>
      <c r="I7" s="100" t="s">
        <v>252</v>
      </c>
      <c r="J7" s="114">
        <v>70</v>
      </c>
      <c r="K7" s="114">
        <v>25</v>
      </c>
      <c r="L7" s="114">
        <v>740</v>
      </c>
      <c r="M7" s="114">
        <v>25</v>
      </c>
      <c r="N7" s="99">
        <v>7</v>
      </c>
      <c r="O7" s="14">
        <v>108000</v>
      </c>
      <c r="P7" s="14">
        <v>9310.35</v>
      </c>
      <c r="Q7" s="14">
        <f t="shared" si="0"/>
        <v>16255.86</v>
      </c>
      <c r="R7" s="14">
        <f t="shared" si="1"/>
        <v>8880</v>
      </c>
      <c r="S7" s="14">
        <f t="shared" si="2"/>
        <v>54000</v>
      </c>
      <c r="T7" s="14">
        <v>8198.4</v>
      </c>
      <c r="U7" s="14">
        <v>17330.6</v>
      </c>
      <c r="V7" s="14">
        <f>AM7*7.5*0.16*1.1</f>
        <v>62092.8</v>
      </c>
      <c r="W7" s="14">
        <v>360</v>
      </c>
      <c r="X7" s="14">
        <v>680</v>
      </c>
      <c r="Y7" s="14">
        <f t="shared" si="4"/>
        <v>1484</v>
      </c>
      <c r="Z7" s="14">
        <v>4000</v>
      </c>
      <c r="AA7" s="14">
        <v>10500</v>
      </c>
      <c r="AB7" s="14">
        <v>960</v>
      </c>
      <c r="AC7" s="14">
        <v>40</v>
      </c>
      <c r="AD7" s="14">
        <f>550*12</f>
        <v>6600</v>
      </c>
      <c r="AE7" s="14">
        <f t="shared" si="5"/>
        <v>1200</v>
      </c>
      <c r="AF7" s="14">
        <f t="shared" ref="AF7:AF44" si="8">SUM(Q7:AE7)</f>
        <v>192581.66</v>
      </c>
      <c r="AG7" s="14">
        <f t="shared" si="3"/>
        <v>6652.8</v>
      </c>
      <c r="AH7" s="100" t="s">
        <v>252</v>
      </c>
      <c r="AI7" s="14">
        <v>70</v>
      </c>
      <c r="AJ7" s="14">
        <v>25</v>
      </c>
      <c r="AK7" s="14">
        <v>56</v>
      </c>
      <c r="AL7" s="14">
        <v>28</v>
      </c>
      <c r="AM7" s="14">
        <f t="shared" si="6"/>
        <v>47040</v>
      </c>
      <c r="AN7" s="14">
        <v>1645</v>
      </c>
      <c r="AO7" s="14">
        <v>7200</v>
      </c>
      <c r="AP7" s="14">
        <f t="shared" si="7"/>
        <v>166320</v>
      </c>
    </row>
    <row r="8" s="86" customFormat="1" ht="24.95" customHeight="1" spans="1:42">
      <c r="A8" s="99">
        <v>4</v>
      </c>
      <c r="B8" s="99" t="s">
        <v>253</v>
      </c>
      <c r="C8" s="100" t="s">
        <v>242</v>
      </c>
      <c r="D8" s="101" t="s">
        <v>254</v>
      </c>
      <c r="E8" s="230" t="s">
        <v>255</v>
      </c>
      <c r="F8" s="99" t="s">
        <v>256</v>
      </c>
      <c r="G8" s="14">
        <v>11</v>
      </c>
      <c r="H8" s="102">
        <v>44043</v>
      </c>
      <c r="I8" s="100" t="s">
        <v>257</v>
      </c>
      <c r="J8" s="114">
        <v>56</v>
      </c>
      <c r="K8" s="114">
        <v>25</v>
      </c>
      <c r="L8" s="114">
        <v>620</v>
      </c>
      <c r="M8" s="114">
        <v>25</v>
      </c>
      <c r="N8" s="99">
        <v>7</v>
      </c>
      <c r="O8" s="14">
        <v>127400</v>
      </c>
      <c r="P8" s="14">
        <v>11274.34</v>
      </c>
      <c r="Q8" s="14">
        <f t="shared" si="0"/>
        <v>19216.3</v>
      </c>
      <c r="R8" s="14">
        <f t="shared" si="1"/>
        <v>7440</v>
      </c>
      <c r="S8" s="14">
        <f t="shared" si="2"/>
        <v>54000</v>
      </c>
      <c r="T8" s="14">
        <v>8198.4</v>
      </c>
      <c r="U8" s="14">
        <v>17330.6</v>
      </c>
      <c r="V8" s="14">
        <f>AM8*7.5*0.14*1.1</f>
        <v>43464.96</v>
      </c>
      <c r="W8" s="14">
        <v>360</v>
      </c>
      <c r="X8" s="14">
        <v>680</v>
      </c>
      <c r="Y8" s="14">
        <f t="shared" si="4"/>
        <v>1484</v>
      </c>
      <c r="Z8" s="14">
        <v>3210</v>
      </c>
      <c r="AA8" s="14">
        <v>8200</v>
      </c>
      <c r="AB8" s="14">
        <v>960</v>
      </c>
      <c r="AC8" s="14">
        <v>40</v>
      </c>
      <c r="AD8" s="14">
        <f>400*12</f>
        <v>4800</v>
      </c>
      <c r="AE8" s="14">
        <f t="shared" si="5"/>
        <v>1200</v>
      </c>
      <c r="AF8" s="14">
        <f t="shared" si="8"/>
        <v>170584.26</v>
      </c>
      <c r="AG8" s="14">
        <f t="shared" si="3"/>
        <v>3696</v>
      </c>
      <c r="AH8" s="100" t="s">
        <v>257</v>
      </c>
      <c r="AI8" s="14">
        <v>56</v>
      </c>
      <c r="AJ8" s="14">
        <v>25</v>
      </c>
      <c r="AK8" s="14">
        <v>56</v>
      </c>
      <c r="AL8" s="14">
        <v>28</v>
      </c>
      <c r="AM8" s="14">
        <f t="shared" si="6"/>
        <v>37632</v>
      </c>
      <c r="AN8" s="14">
        <v>1645</v>
      </c>
      <c r="AO8" s="14">
        <v>7200</v>
      </c>
      <c r="AP8" s="14">
        <f t="shared" si="7"/>
        <v>92400</v>
      </c>
    </row>
    <row r="9" s="86" customFormat="1" ht="24.95" customHeight="1" spans="1:42">
      <c r="A9" s="99">
        <v>5</v>
      </c>
      <c r="B9" s="99" t="s">
        <v>258</v>
      </c>
      <c r="C9" s="100" t="s">
        <v>242</v>
      </c>
      <c r="D9" s="101" t="s">
        <v>259</v>
      </c>
      <c r="E9" s="101" t="s">
        <v>260</v>
      </c>
      <c r="F9" s="99" t="s">
        <v>261</v>
      </c>
      <c r="G9" s="14">
        <v>9</v>
      </c>
      <c r="H9" s="102">
        <v>44558</v>
      </c>
      <c r="I9" s="100" t="s">
        <v>262</v>
      </c>
      <c r="J9" s="114">
        <v>68</v>
      </c>
      <c r="K9" s="114">
        <v>30</v>
      </c>
      <c r="L9" s="114">
        <v>580</v>
      </c>
      <c r="M9" s="114">
        <v>30</v>
      </c>
      <c r="N9" s="99">
        <v>7</v>
      </c>
      <c r="O9" s="14">
        <v>88500</v>
      </c>
      <c r="P9" s="14">
        <v>7831.86</v>
      </c>
      <c r="Q9" s="14">
        <f t="shared" si="0"/>
        <v>13348.84</v>
      </c>
      <c r="R9" s="14">
        <f t="shared" si="1"/>
        <v>6960</v>
      </c>
      <c r="S9" s="14">
        <f t="shared" si="2"/>
        <v>54000</v>
      </c>
      <c r="T9" s="14">
        <v>8198.4</v>
      </c>
      <c r="U9" s="14">
        <v>10876.83</v>
      </c>
      <c r="V9" s="14">
        <f>AM9*0.12*7.5*1.1</f>
        <v>45239.04</v>
      </c>
      <c r="W9" s="14">
        <v>360</v>
      </c>
      <c r="X9" s="14">
        <v>680</v>
      </c>
      <c r="Y9" s="14">
        <f t="shared" si="4"/>
        <v>1484</v>
      </c>
      <c r="Z9" s="14">
        <v>3210</v>
      </c>
      <c r="AA9" s="14">
        <v>8000</v>
      </c>
      <c r="AB9" s="14">
        <v>960</v>
      </c>
      <c r="AC9" s="14">
        <v>40</v>
      </c>
      <c r="AD9" s="14">
        <f>360*12</f>
        <v>4320</v>
      </c>
      <c r="AE9" s="14">
        <f t="shared" si="5"/>
        <v>1200</v>
      </c>
      <c r="AF9" s="14">
        <f t="shared" si="8"/>
        <v>158877.11</v>
      </c>
      <c r="AG9" s="14">
        <f t="shared" si="3"/>
        <v>2956.8</v>
      </c>
      <c r="AH9" s="100" t="s">
        <v>262</v>
      </c>
      <c r="AI9" s="14">
        <v>68</v>
      </c>
      <c r="AJ9" s="14">
        <v>30</v>
      </c>
      <c r="AK9" s="14">
        <v>56</v>
      </c>
      <c r="AL9" s="14">
        <v>28</v>
      </c>
      <c r="AM9" s="14">
        <f t="shared" si="6"/>
        <v>45696</v>
      </c>
      <c r="AN9" s="14">
        <v>1645</v>
      </c>
      <c r="AO9" s="14">
        <v>7200</v>
      </c>
      <c r="AP9" s="14">
        <f t="shared" si="7"/>
        <v>88704</v>
      </c>
    </row>
    <row r="10" s="86" customFormat="1" ht="24.95" customHeight="1" spans="1:42">
      <c r="A10" s="99">
        <v>6</v>
      </c>
      <c r="B10" s="99" t="s">
        <v>263</v>
      </c>
      <c r="C10" s="100" t="s">
        <v>242</v>
      </c>
      <c r="D10" s="101" t="s">
        <v>264</v>
      </c>
      <c r="E10" s="101" t="s">
        <v>265</v>
      </c>
      <c r="F10" s="99" t="s">
        <v>266</v>
      </c>
      <c r="G10" s="14">
        <v>14</v>
      </c>
      <c r="H10" s="102">
        <v>44015</v>
      </c>
      <c r="I10" s="100" t="s">
        <v>267</v>
      </c>
      <c r="J10" s="114">
        <v>80</v>
      </c>
      <c r="K10" s="114">
        <v>35</v>
      </c>
      <c r="L10" s="114">
        <v>700</v>
      </c>
      <c r="M10" s="114">
        <v>35</v>
      </c>
      <c r="N10" s="99">
        <v>7</v>
      </c>
      <c r="O10" s="14">
        <v>150900</v>
      </c>
      <c r="P10" s="14">
        <v>13353.98</v>
      </c>
      <c r="Q10" s="14">
        <f t="shared" si="0"/>
        <v>22760.91</v>
      </c>
      <c r="R10" s="14">
        <f t="shared" si="1"/>
        <v>8400</v>
      </c>
      <c r="S10" s="14">
        <f t="shared" si="2"/>
        <v>54000</v>
      </c>
      <c r="T10" s="14">
        <v>8198.4</v>
      </c>
      <c r="U10" s="14">
        <v>17383.14</v>
      </c>
      <c r="V10" s="14">
        <f>AM10*7.5*0.14*1.1</f>
        <v>62092.8</v>
      </c>
      <c r="W10" s="14">
        <v>360</v>
      </c>
      <c r="X10" s="14">
        <v>680</v>
      </c>
      <c r="Y10" s="14">
        <f t="shared" si="4"/>
        <v>1484</v>
      </c>
      <c r="Z10" s="14">
        <v>3500</v>
      </c>
      <c r="AA10" s="14">
        <v>8500</v>
      </c>
      <c r="AB10" s="14">
        <v>960</v>
      </c>
      <c r="AC10" s="14">
        <v>40</v>
      </c>
      <c r="AD10" s="14">
        <f>450*12</f>
        <v>5400</v>
      </c>
      <c r="AE10" s="14">
        <f t="shared" si="5"/>
        <v>1200</v>
      </c>
      <c r="AF10" s="14">
        <f t="shared" si="8"/>
        <v>194959.25</v>
      </c>
      <c r="AG10" s="14">
        <f t="shared" si="3"/>
        <v>4804.8</v>
      </c>
      <c r="AH10" s="100" t="s">
        <v>267</v>
      </c>
      <c r="AI10" s="14">
        <v>80</v>
      </c>
      <c r="AJ10" s="14">
        <v>35</v>
      </c>
      <c r="AK10" s="14">
        <v>56</v>
      </c>
      <c r="AL10" s="14">
        <v>28</v>
      </c>
      <c r="AM10" s="14">
        <f t="shared" si="6"/>
        <v>53760</v>
      </c>
      <c r="AN10" s="14">
        <v>1645</v>
      </c>
      <c r="AO10" s="14">
        <v>7200</v>
      </c>
      <c r="AP10" s="14">
        <f t="shared" si="7"/>
        <v>168168</v>
      </c>
    </row>
    <row r="11" s="86" customFormat="1" ht="24.95" customHeight="1" spans="1:42">
      <c r="A11" s="99">
        <v>7</v>
      </c>
      <c r="B11" s="99" t="s">
        <v>268</v>
      </c>
      <c r="C11" s="100" t="s">
        <v>269</v>
      </c>
      <c r="D11" s="101" t="s">
        <v>270</v>
      </c>
      <c r="E11" s="101" t="s">
        <v>271</v>
      </c>
      <c r="F11" s="99" t="s">
        <v>272</v>
      </c>
      <c r="G11" s="14">
        <v>11</v>
      </c>
      <c r="H11" s="102">
        <v>42312</v>
      </c>
      <c r="I11" s="100" t="s">
        <v>273</v>
      </c>
      <c r="J11" s="114">
        <v>37</v>
      </c>
      <c r="K11" s="114">
        <v>17</v>
      </c>
      <c r="L11" s="114">
        <v>620</v>
      </c>
      <c r="M11" s="114">
        <v>17</v>
      </c>
      <c r="N11" s="99">
        <v>7</v>
      </c>
      <c r="O11" s="14">
        <v>69000</v>
      </c>
      <c r="P11" s="14">
        <v>5897.44</v>
      </c>
      <c r="Q11" s="14">
        <f t="shared" si="0"/>
        <v>10378.65</v>
      </c>
      <c r="R11" s="14">
        <f t="shared" si="1"/>
        <v>7440</v>
      </c>
      <c r="S11" s="14">
        <f t="shared" si="2"/>
        <v>54000</v>
      </c>
      <c r="T11" s="14">
        <v>8198.4</v>
      </c>
      <c r="U11" s="14">
        <v>14296.82</v>
      </c>
      <c r="V11" s="14">
        <f>AM11*7.5*0.14*1.1</f>
        <v>86153.76</v>
      </c>
      <c r="W11" s="14">
        <v>360</v>
      </c>
      <c r="X11" s="14">
        <v>680</v>
      </c>
      <c r="Y11" s="14">
        <f t="shared" si="4"/>
        <v>1484</v>
      </c>
      <c r="Z11" s="14">
        <v>3210</v>
      </c>
      <c r="AA11" s="14">
        <v>8200</v>
      </c>
      <c r="AB11" s="14">
        <v>960</v>
      </c>
      <c r="AC11" s="14">
        <v>40</v>
      </c>
      <c r="AD11" s="14">
        <f>400*12</f>
        <v>4800</v>
      </c>
      <c r="AE11" s="14">
        <f t="shared" si="5"/>
        <v>1200</v>
      </c>
      <c r="AF11" s="14">
        <f t="shared" si="8"/>
        <v>201401.63</v>
      </c>
      <c r="AG11" s="14">
        <f t="shared" si="3"/>
        <v>11088</v>
      </c>
      <c r="AH11" s="100" t="s">
        <v>273</v>
      </c>
      <c r="AI11" s="14">
        <v>37</v>
      </c>
      <c r="AJ11" s="14">
        <v>17</v>
      </c>
      <c r="AK11" s="14">
        <f>28*2*3</f>
        <v>168</v>
      </c>
      <c r="AL11" s="14">
        <v>28</v>
      </c>
      <c r="AM11" s="14">
        <f t="shared" si="6"/>
        <v>74592</v>
      </c>
      <c r="AN11" s="14">
        <v>1645</v>
      </c>
      <c r="AO11" s="14">
        <v>7200</v>
      </c>
      <c r="AP11" s="14">
        <f t="shared" si="7"/>
        <v>188496</v>
      </c>
    </row>
    <row r="12" s="86" customFormat="1" ht="24.95" customHeight="1" spans="1:42">
      <c r="A12" s="99">
        <v>8</v>
      </c>
      <c r="B12" s="99" t="s">
        <v>274</v>
      </c>
      <c r="C12" s="100" t="s">
        <v>236</v>
      </c>
      <c r="D12" s="101" t="s">
        <v>275</v>
      </c>
      <c r="E12" s="101" t="s">
        <v>276</v>
      </c>
      <c r="F12" s="99" t="s">
        <v>277</v>
      </c>
      <c r="G12" s="14">
        <v>9</v>
      </c>
      <c r="H12" s="102">
        <v>43950</v>
      </c>
      <c r="I12" s="100" t="s">
        <v>278</v>
      </c>
      <c r="J12" s="114">
        <v>37</v>
      </c>
      <c r="K12" s="114">
        <v>17</v>
      </c>
      <c r="L12" s="114">
        <v>580</v>
      </c>
      <c r="M12" s="114">
        <v>17</v>
      </c>
      <c r="N12" s="99">
        <v>7</v>
      </c>
      <c r="O12" s="14">
        <v>90000</v>
      </c>
      <c r="P12" s="14">
        <v>79646.02</v>
      </c>
      <c r="Q12" s="14">
        <f t="shared" si="0"/>
        <v>23508.09</v>
      </c>
      <c r="R12" s="14">
        <f t="shared" si="1"/>
        <v>6960</v>
      </c>
      <c r="S12" s="14">
        <f t="shared" si="2"/>
        <v>54000</v>
      </c>
      <c r="T12" s="14">
        <v>8198.4</v>
      </c>
      <c r="U12" s="14">
        <v>10876.83</v>
      </c>
      <c r="V12" s="14">
        <f>AM12*0.12*7.5*1.1</f>
        <v>73846.08</v>
      </c>
      <c r="W12" s="14">
        <v>360</v>
      </c>
      <c r="X12" s="14">
        <v>680</v>
      </c>
      <c r="Y12" s="14">
        <f t="shared" si="4"/>
        <v>1484</v>
      </c>
      <c r="Z12" s="14">
        <v>3210</v>
      </c>
      <c r="AA12" s="14">
        <v>8000</v>
      </c>
      <c r="AB12" s="14">
        <v>960</v>
      </c>
      <c r="AC12" s="14">
        <v>40</v>
      </c>
      <c r="AD12" s="14">
        <f>360*12</f>
        <v>4320</v>
      </c>
      <c r="AE12" s="14">
        <f t="shared" si="5"/>
        <v>1200</v>
      </c>
      <c r="AF12" s="14">
        <f t="shared" si="8"/>
        <v>197643.4</v>
      </c>
      <c r="AG12" s="14">
        <f t="shared" si="3"/>
        <v>8870.4</v>
      </c>
      <c r="AH12" s="100" t="s">
        <v>278</v>
      </c>
      <c r="AI12" s="14">
        <v>37</v>
      </c>
      <c r="AJ12" s="14">
        <v>17</v>
      </c>
      <c r="AK12" s="14">
        <f>28*2*3</f>
        <v>168</v>
      </c>
      <c r="AL12" s="14">
        <v>28</v>
      </c>
      <c r="AM12" s="14">
        <f t="shared" si="6"/>
        <v>74592</v>
      </c>
      <c r="AN12" s="14">
        <v>1645</v>
      </c>
      <c r="AO12" s="14">
        <v>7200</v>
      </c>
      <c r="AP12" s="14">
        <f t="shared" si="7"/>
        <v>150796.8</v>
      </c>
    </row>
    <row r="13" s="86" customFormat="1" ht="24.95" customHeight="1" spans="1:42">
      <c r="A13" s="99">
        <v>9</v>
      </c>
      <c r="B13" s="99" t="s">
        <v>279</v>
      </c>
      <c r="C13" s="100" t="s">
        <v>269</v>
      </c>
      <c r="D13" s="101" t="s">
        <v>280</v>
      </c>
      <c r="E13" s="101">
        <v>137420</v>
      </c>
      <c r="F13" s="99" t="s">
        <v>281</v>
      </c>
      <c r="G13" s="14">
        <v>11</v>
      </c>
      <c r="H13" s="102">
        <v>43431</v>
      </c>
      <c r="I13" s="100" t="s">
        <v>273</v>
      </c>
      <c r="J13" s="114">
        <v>37</v>
      </c>
      <c r="K13" s="114">
        <v>17</v>
      </c>
      <c r="L13" s="114">
        <v>620</v>
      </c>
      <c r="M13" s="114">
        <v>17</v>
      </c>
      <c r="N13" s="99">
        <v>7</v>
      </c>
      <c r="O13" s="14">
        <v>95000</v>
      </c>
      <c r="P13" s="14">
        <v>8189.66</v>
      </c>
      <c r="Q13" s="14">
        <f t="shared" si="0"/>
        <v>14299.14</v>
      </c>
      <c r="R13" s="14">
        <f t="shared" si="1"/>
        <v>7440</v>
      </c>
      <c r="S13" s="14">
        <f t="shared" si="2"/>
        <v>54000</v>
      </c>
      <c r="T13" s="14">
        <v>8198.4</v>
      </c>
      <c r="U13" s="14">
        <v>14296.82</v>
      </c>
      <c r="V13" s="14">
        <f>AM13*7.5*0.14*1.1</f>
        <v>86153.76</v>
      </c>
      <c r="W13" s="14">
        <v>360</v>
      </c>
      <c r="X13" s="14">
        <v>680</v>
      </c>
      <c r="Y13" s="14">
        <f t="shared" si="4"/>
        <v>1484</v>
      </c>
      <c r="Z13" s="14">
        <v>3210</v>
      </c>
      <c r="AA13" s="14">
        <v>8200</v>
      </c>
      <c r="AB13" s="14">
        <v>960</v>
      </c>
      <c r="AC13" s="14">
        <v>40</v>
      </c>
      <c r="AD13" s="14">
        <f>400*12</f>
        <v>4800</v>
      </c>
      <c r="AE13" s="14">
        <f t="shared" si="5"/>
        <v>1200</v>
      </c>
      <c r="AF13" s="14">
        <f t="shared" si="8"/>
        <v>205322.12</v>
      </c>
      <c r="AG13" s="14">
        <f t="shared" si="3"/>
        <v>11088</v>
      </c>
      <c r="AH13" s="100" t="s">
        <v>273</v>
      </c>
      <c r="AI13" s="14">
        <v>37</v>
      </c>
      <c r="AJ13" s="14">
        <v>17</v>
      </c>
      <c r="AK13" s="14">
        <f>28*2*3</f>
        <v>168</v>
      </c>
      <c r="AL13" s="14">
        <v>28</v>
      </c>
      <c r="AM13" s="14">
        <f t="shared" si="6"/>
        <v>74592</v>
      </c>
      <c r="AN13" s="14">
        <v>1645</v>
      </c>
      <c r="AO13" s="14">
        <v>7200</v>
      </c>
      <c r="AP13" s="14">
        <f t="shared" si="7"/>
        <v>188496</v>
      </c>
    </row>
    <row r="14" s="86" customFormat="1" ht="24.95" customHeight="1" spans="1:42">
      <c r="A14" s="99">
        <v>10</v>
      </c>
      <c r="B14" s="99" t="s">
        <v>282</v>
      </c>
      <c r="C14" s="100" t="s">
        <v>248</v>
      </c>
      <c r="D14" s="101" t="s">
        <v>283</v>
      </c>
      <c r="E14" s="101" t="s">
        <v>284</v>
      </c>
      <c r="F14" s="99" t="s">
        <v>285</v>
      </c>
      <c r="G14" s="14">
        <v>19</v>
      </c>
      <c r="H14" s="102">
        <v>43950</v>
      </c>
      <c r="I14" s="100" t="s">
        <v>286</v>
      </c>
      <c r="J14" s="114">
        <v>30</v>
      </c>
      <c r="K14" s="114">
        <v>12</v>
      </c>
      <c r="L14" s="114">
        <v>740</v>
      </c>
      <c r="M14" s="114">
        <v>12</v>
      </c>
      <c r="N14" s="99">
        <v>7</v>
      </c>
      <c r="O14" s="14">
        <v>153000</v>
      </c>
      <c r="P14" s="14">
        <v>13539.82</v>
      </c>
      <c r="Q14" s="14">
        <f t="shared" si="0"/>
        <v>23077.66</v>
      </c>
      <c r="R14" s="14">
        <f t="shared" si="1"/>
        <v>8880</v>
      </c>
      <c r="S14" s="14">
        <f t="shared" si="2"/>
        <v>54000</v>
      </c>
      <c r="T14" s="14">
        <v>8198.4</v>
      </c>
      <c r="U14" s="14">
        <v>17330.6</v>
      </c>
      <c r="V14" s="14">
        <f>AM14*7.5*0.16*1.1</f>
        <v>79833.6</v>
      </c>
      <c r="W14" s="14">
        <v>360</v>
      </c>
      <c r="X14" s="14">
        <v>680</v>
      </c>
      <c r="Y14" s="14">
        <f t="shared" si="4"/>
        <v>1484</v>
      </c>
      <c r="Z14" s="14">
        <v>4000</v>
      </c>
      <c r="AA14" s="14">
        <v>10500</v>
      </c>
      <c r="AB14" s="14">
        <v>960</v>
      </c>
      <c r="AC14" s="14">
        <v>40</v>
      </c>
      <c r="AD14" s="14">
        <f>550*12</f>
        <v>6600</v>
      </c>
      <c r="AE14" s="14">
        <f t="shared" si="5"/>
        <v>1200</v>
      </c>
      <c r="AF14" s="14">
        <f t="shared" si="8"/>
        <v>217144.26</v>
      </c>
      <c r="AG14" s="14">
        <f t="shared" si="3"/>
        <v>19958.4</v>
      </c>
      <c r="AH14" s="100" t="s">
        <v>286</v>
      </c>
      <c r="AI14" s="14">
        <v>30</v>
      </c>
      <c r="AJ14" s="14">
        <v>12</v>
      </c>
      <c r="AK14" s="14">
        <f>28*2*3</f>
        <v>168</v>
      </c>
      <c r="AL14" s="14">
        <v>28</v>
      </c>
      <c r="AM14" s="14">
        <f t="shared" si="6"/>
        <v>60480</v>
      </c>
      <c r="AN14" s="14">
        <v>1645</v>
      </c>
      <c r="AO14" s="14">
        <v>7200</v>
      </c>
      <c r="AP14" s="14">
        <f t="shared" si="7"/>
        <v>239500.8</v>
      </c>
    </row>
    <row r="15" s="86" customFormat="1" ht="24.95" customHeight="1" spans="1:42">
      <c r="A15" s="99">
        <v>11</v>
      </c>
      <c r="B15" s="99" t="s">
        <v>287</v>
      </c>
      <c r="C15" s="100" t="s">
        <v>288</v>
      </c>
      <c r="D15" s="101" t="s">
        <v>289</v>
      </c>
      <c r="E15" s="101">
        <v>313287</v>
      </c>
      <c r="F15" s="99" t="s">
        <v>290</v>
      </c>
      <c r="G15" s="14">
        <v>9</v>
      </c>
      <c r="H15" s="102">
        <v>43265</v>
      </c>
      <c r="I15" s="100" t="s">
        <v>291</v>
      </c>
      <c r="J15" s="114">
        <v>90</v>
      </c>
      <c r="K15" s="114">
        <v>30</v>
      </c>
      <c r="L15" s="114">
        <v>580</v>
      </c>
      <c r="M15" s="114">
        <v>30</v>
      </c>
      <c r="N15" s="99">
        <v>7</v>
      </c>
      <c r="O15" s="14">
        <v>68000</v>
      </c>
      <c r="P15" s="14">
        <v>5862.07</v>
      </c>
      <c r="Q15" s="14">
        <f t="shared" ref="Q15:Q44" si="9">ROUND((O15+P15)*0.97/N15,2)</f>
        <v>10235.17</v>
      </c>
      <c r="R15" s="14">
        <f t="shared" ref="R15:R44" si="10">L15*$B$48</f>
        <v>6960</v>
      </c>
      <c r="S15" s="14">
        <f t="shared" si="2"/>
        <v>54000</v>
      </c>
      <c r="T15" s="14">
        <v>8198.4</v>
      </c>
      <c r="U15" s="14">
        <v>10876.83</v>
      </c>
      <c r="V15" s="14">
        <f>AM15*0.12*7.5*1.1</f>
        <v>59875.2</v>
      </c>
      <c r="W15" s="14">
        <v>360</v>
      </c>
      <c r="X15" s="14">
        <v>680</v>
      </c>
      <c r="Y15" s="14">
        <f t="shared" si="4"/>
        <v>1484</v>
      </c>
      <c r="Z15" s="14">
        <v>3210</v>
      </c>
      <c r="AA15" s="14">
        <v>8000</v>
      </c>
      <c r="AB15" s="14">
        <v>960</v>
      </c>
      <c r="AC15" s="14">
        <v>40</v>
      </c>
      <c r="AD15" s="14">
        <f>360*12</f>
        <v>4320</v>
      </c>
      <c r="AE15" s="14">
        <f t="shared" si="5"/>
        <v>1200</v>
      </c>
      <c r="AF15" s="14">
        <f t="shared" si="8"/>
        <v>170399.6</v>
      </c>
      <c r="AG15" s="14">
        <f t="shared" si="3"/>
        <v>2956.8</v>
      </c>
      <c r="AH15" s="100" t="s">
        <v>291</v>
      </c>
      <c r="AI15" s="14">
        <v>90</v>
      </c>
      <c r="AJ15" s="14">
        <v>30</v>
      </c>
      <c r="AK15" s="14">
        <f>28*2*1</f>
        <v>56</v>
      </c>
      <c r="AL15" s="14">
        <v>28</v>
      </c>
      <c r="AM15" s="14">
        <f t="shared" si="6"/>
        <v>60480</v>
      </c>
      <c r="AN15" s="14">
        <v>1645</v>
      </c>
      <c r="AO15" s="14">
        <v>7200</v>
      </c>
      <c r="AP15" s="14">
        <f t="shared" si="7"/>
        <v>88704</v>
      </c>
    </row>
    <row r="16" s="86" customFormat="1" ht="24.95" customHeight="1" spans="1:42">
      <c r="A16" s="99">
        <v>12</v>
      </c>
      <c r="B16" s="99" t="s">
        <v>292</v>
      </c>
      <c r="C16" s="100" t="s">
        <v>242</v>
      </c>
      <c r="D16" s="101" t="s">
        <v>293</v>
      </c>
      <c r="E16" s="101" t="s">
        <v>294</v>
      </c>
      <c r="F16" s="99" t="s">
        <v>295</v>
      </c>
      <c r="G16" s="14">
        <v>14</v>
      </c>
      <c r="H16" s="102">
        <v>43669</v>
      </c>
      <c r="I16" s="100" t="s">
        <v>296</v>
      </c>
      <c r="J16" s="114">
        <v>49</v>
      </c>
      <c r="K16" s="114">
        <v>20</v>
      </c>
      <c r="L16" s="114">
        <v>700</v>
      </c>
      <c r="M16" s="114">
        <v>20</v>
      </c>
      <c r="N16" s="99">
        <v>7</v>
      </c>
      <c r="O16" s="14">
        <v>143000</v>
      </c>
      <c r="P16" s="14">
        <v>12654.49</v>
      </c>
      <c r="Q16" s="14">
        <f t="shared" si="9"/>
        <v>21569.27</v>
      </c>
      <c r="R16" s="14">
        <f t="shared" si="10"/>
        <v>8400</v>
      </c>
      <c r="S16" s="14">
        <f t="shared" si="2"/>
        <v>54000</v>
      </c>
      <c r="T16" s="14">
        <v>8198.4</v>
      </c>
      <c r="U16" s="14">
        <v>17383.14</v>
      </c>
      <c r="V16" s="14">
        <f>AM16*7.5*0.14*1.1</f>
        <v>38031.84</v>
      </c>
      <c r="W16" s="14">
        <v>360</v>
      </c>
      <c r="X16" s="14">
        <v>680</v>
      </c>
      <c r="Y16" s="14">
        <f t="shared" ref="Y16:Y25" si="11">371*4</f>
        <v>1484</v>
      </c>
      <c r="Z16" s="14">
        <v>3500</v>
      </c>
      <c r="AA16" s="14">
        <v>8500</v>
      </c>
      <c r="AB16" s="14">
        <v>960</v>
      </c>
      <c r="AC16" s="14">
        <v>40</v>
      </c>
      <c r="AD16" s="14">
        <f>450*12</f>
        <v>5400</v>
      </c>
      <c r="AE16" s="14">
        <f t="shared" ref="AE16:AE25" si="12">100*12</f>
        <v>1200</v>
      </c>
      <c r="AF16" s="14">
        <f t="shared" si="8"/>
        <v>169706.65</v>
      </c>
      <c r="AG16" s="14">
        <f t="shared" si="3"/>
        <v>4804.8</v>
      </c>
      <c r="AH16" s="100" t="s">
        <v>296</v>
      </c>
      <c r="AI16" s="14">
        <v>49</v>
      </c>
      <c r="AJ16" s="14">
        <v>20</v>
      </c>
      <c r="AK16" s="14">
        <f>28*2*1</f>
        <v>56</v>
      </c>
      <c r="AL16" s="14">
        <v>28</v>
      </c>
      <c r="AM16" s="14">
        <f t="shared" si="6"/>
        <v>32928</v>
      </c>
      <c r="AN16" s="14">
        <v>1645</v>
      </c>
      <c r="AO16" s="14">
        <v>7200</v>
      </c>
      <c r="AP16" s="14">
        <f t="shared" si="7"/>
        <v>96096</v>
      </c>
    </row>
    <row r="17" s="86" customFormat="1" ht="24.95" customHeight="1" spans="1:42">
      <c r="A17" s="99">
        <v>13</v>
      </c>
      <c r="B17" s="99" t="s">
        <v>297</v>
      </c>
      <c r="C17" s="100" t="s">
        <v>269</v>
      </c>
      <c r="D17" s="101" t="s">
        <v>298</v>
      </c>
      <c r="E17" s="101" t="s">
        <v>299</v>
      </c>
      <c r="F17" s="99" t="s">
        <v>300</v>
      </c>
      <c r="G17" s="14">
        <v>14</v>
      </c>
      <c r="H17" s="102">
        <v>44063</v>
      </c>
      <c r="I17" s="100" t="s">
        <v>301</v>
      </c>
      <c r="J17" s="114">
        <v>40</v>
      </c>
      <c r="K17" s="114">
        <v>15</v>
      </c>
      <c r="L17" s="114">
        <v>700</v>
      </c>
      <c r="M17" s="114">
        <v>15</v>
      </c>
      <c r="N17" s="99">
        <v>7</v>
      </c>
      <c r="O17" s="14">
        <v>156000</v>
      </c>
      <c r="P17" s="14">
        <v>13805.31</v>
      </c>
      <c r="Q17" s="14">
        <f t="shared" si="9"/>
        <v>23530.16</v>
      </c>
      <c r="R17" s="14">
        <f t="shared" si="10"/>
        <v>8400</v>
      </c>
      <c r="S17" s="14">
        <f t="shared" si="2"/>
        <v>54000</v>
      </c>
      <c r="T17" s="14">
        <v>8198.4</v>
      </c>
      <c r="U17" s="14">
        <v>17383.14</v>
      </c>
      <c r="V17" s="14">
        <f>AM17*7.5*0.14*1.1</f>
        <v>93139.2</v>
      </c>
      <c r="W17" s="14">
        <v>360</v>
      </c>
      <c r="X17" s="14">
        <v>680</v>
      </c>
      <c r="Y17" s="14">
        <f t="shared" si="11"/>
        <v>1484</v>
      </c>
      <c r="Z17" s="14">
        <v>3500</v>
      </c>
      <c r="AA17" s="14">
        <v>8500</v>
      </c>
      <c r="AB17" s="14">
        <v>960</v>
      </c>
      <c r="AC17" s="14">
        <v>40</v>
      </c>
      <c r="AD17" s="14">
        <f>450*12</f>
        <v>5400</v>
      </c>
      <c r="AE17" s="14">
        <f t="shared" si="12"/>
        <v>1200</v>
      </c>
      <c r="AF17" s="14">
        <f t="shared" si="8"/>
        <v>226774.9</v>
      </c>
      <c r="AG17" s="14">
        <f t="shared" si="3"/>
        <v>14414.4</v>
      </c>
      <c r="AH17" s="100" t="s">
        <v>301</v>
      </c>
      <c r="AI17" s="14">
        <v>40</v>
      </c>
      <c r="AJ17" s="14">
        <v>15</v>
      </c>
      <c r="AK17" s="14">
        <f>28*2*3</f>
        <v>168</v>
      </c>
      <c r="AL17" s="14">
        <v>28</v>
      </c>
      <c r="AM17" s="14">
        <f t="shared" si="6"/>
        <v>80640</v>
      </c>
      <c r="AN17" s="14">
        <v>1645</v>
      </c>
      <c r="AO17" s="14">
        <v>7200</v>
      </c>
      <c r="AP17" s="14">
        <f t="shared" si="7"/>
        <v>216216</v>
      </c>
    </row>
    <row r="18" s="86" customFormat="1" ht="24.95" customHeight="1" spans="1:42">
      <c r="A18" s="99">
        <v>14</v>
      </c>
      <c r="B18" s="99" t="s">
        <v>302</v>
      </c>
      <c r="C18" s="100" t="s">
        <v>248</v>
      </c>
      <c r="D18" s="101" t="s">
        <v>303</v>
      </c>
      <c r="E18" s="101" t="s">
        <v>304</v>
      </c>
      <c r="F18" s="99" t="s">
        <v>305</v>
      </c>
      <c r="G18" s="14">
        <v>19</v>
      </c>
      <c r="H18" s="102">
        <v>42711</v>
      </c>
      <c r="I18" s="100" t="s">
        <v>306</v>
      </c>
      <c r="J18" s="114">
        <v>36</v>
      </c>
      <c r="K18" s="114">
        <v>13</v>
      </c>
      <c r="L18" s="114">
        <v>740</v>
      </c>
      <c r="M18" s="114">
        <v>13</v>
      </c>
      <c r="N18" s="99">
        <v>7</v>
      </c>
      <c r="O18" s="14">
        <v>53800</v>
      </c>
      <c r="P18" s="14">
        <v>4598.29</v>
      </c>
      <c r="Q18" s="14">
        <f t="shared" si="9"/>
        <v>8092.33</v>
      </c>
      <c r="R18" s="14">
        <f t="shared" si="10"/>
        <v>8880</v>
      </c>
      <c r="S18" s="14">
        <f t="shared" si="2"/>
        <v>54000</v>
      </c>
      <c r="T18" s="14">
        <v>8198.4</v>
      </c>
      <c r="U18" s="14">
        <v>17330.6</v>
      </c>
      <c r="V18" s="14">
        <f>AM18*7.5*0.16*1.1</f>
        <v>95800.32</v>
      </c>
      <c r="W18" s="14">
        <v>360</v>
      </c>
      <c r="X18" s="14">
        <v>680</v>
      </c>
      <c r="Y18" s="14">
        <f t="shared" si="11"/>
        <v>1484</v>
      </c>
      <c r="Z18" s="14">
        <v>4000</v>
      </c>
      <c r="AA18" s="14">
        <v>10500</v>
      </c>
      <c r="AB18" s="14">
        <v>960</v>
      </c>
      <c r="AC18" s="14">
        <v>40</v>
      </c>
      <c r="AD18" s="14">
        <f>550*12</f>
        <v>6600</v>
      </c>
      <c r="AE18" s="14">
        <f t="shared" si="12"/>
        <v>1200</v>
      </c>
      <c r="AF18" s="14">
        <f t="shared" si="8"/>
        <v>218125.65</v>
      </c>
      <c r="AG18" s="14">
        <f t="shared" si="3"/>
        <v>19958.4</v>
      </c>
      <c r="AH18" s="100" t="s">
        <v>306</v>
      </c>
      <c r="AI18" s="14">
        <v>36</v>
      </c>
      <c r="AJ18" s="14">
        <v>13</v>
      </c>
      <c r="AK18" s="14">
        <f>28*2*3</f>
        <v>168</v>
      </c>
      <c r="AL18" s="14">
        <v>28</v>
      </c>
      <c r="AM18" s="14">
        <f t="shared" si="6"/>
        <v>72576</v>
      </c>
      <c r="AN18" s="14">
        <v>1645</v>
      </c>
      <c r="AO18" s="14">
        <v>7200</v>
      </c>
      <c r="AP18" s="14">
        <f t="shared" si="7"/>
        <v>259459.2</v>
      </c>
    </row>
    <row r="19" s="86" customFormat="1" ht="24.95" customHeight="1" spans="1:42">
      <c r="A19" s="99">
        <v>15</v>
      </c>
      <c r="B19" s="99" t="s">
        <v>307</v>
      </c>
      <c r="C19" s="100" t="s">
        <v>236</v>
      </c>
      <c r="D19" s="101" t="s">
        <v>308</v>
      </c>
      <c r="E19" s="101" t="s">
        <v>309</v>
      </c>
      <c r="F19" s="99" t="s">
        <v>310</v>
      </c>
      <c r="G19" s="14">
        <v>9</v>
      </c>
      <c r="H19" s="102">
        <v>44075</v>
      </c>
      <c r="I19" s="100" t="s">
        <v>311</v>
      </c>
      <c r="J19" s="114">
        <v>47</v>
      </c>
      <c r="K19" s="114">
        <v>22</v>
      </c>
      <c r="L19" s="114">
        <v>580</v>
      </c>
      <c r="M19" s="114">
        <v>22</v>
      </c>
      <c r="N19" s="99">
        <v>7</v>
      </c>
      <c r="O19" s="14">
        <v>76000</v>
      </c>
      <c r="P19" s="14">
        <v>6725.66</v>
      </c>
      <c r="Q19" s="14">
        <f t="shared" si="9"/>
        <v>11463.41</v>
      </c>
      <c r="R19" s="14">
        <f t="shared" si="10"/>
        <v>6960</v>
      </c>
      <c r="S19" s="14">
        <f t="shared" si="2"/>
        <v>54000</v>
      </c>
      <c r="T19" s="14">
        <v>8198.4</v>
      </c>
      <c r="U19" s="14">
        <v>10876.83</v>
      </c>
      <c r="V19" s="14">
        <f>AM19*0.12*7.5*1.1</f>
        <v>62536.32</v>
      </c>
      <c r="W19" s="14">
        <v>360</v>
      </c>
      <c r="X19" s="14">
        <v>680</v>
      </c>
      <c r="Y19" s="14">
        <f t="shared" si="11"/>
        <v>1484</v>
      </c>
      <c r="Z19" s="14">
        <v>3210</v>
      </c>
      <c r="AA19" s="14">
        <v>8000</v>
      </c>
      <c r="AB19" s="14">
        <v>960</v>
      </c>
      <c r="AC19" s="14">
        <v>40</v>
      </c>
      <c r="AD19" s="14">
        <f>360*12</f>
        <v>4320</v>
      </c>
      <c r="AE19" s="14">
        <f t="shared" si="12"/>
        <v>1200</v>
      </c>
      <c r="AF19" s="14">
        <f t="shared" si="8"/>
        <v>174288.96</v>
      </c>
      <c r="AG19" s="14">
        <f t="shared" si="3"/>
        <v>5913.6</v>
      </c>
      <c r="AH19" s="100" t="s">
        <v>311</v>
      </c>
      <c r="AI19" s="14">
        <v>47</v>
      </c>
      <c r="AJ19" s="14">
        <v>22</v>
      </c>
      <c r="AK19" s="14">
        <f>28*2*2</f>
        <v>112</v>
      </c>
      <c r="AL19" s="14">
        <v>28</v>
      </c>
      <c r="AM19" s="14">
        <f t="shared" si="6"/>
        <v>63168</v>
      </c>
      <c r="AN19" s="14">
        <v>1645</v>
      </c>
      <c r="AO19" s="14">
        <v>7200</v>
      </c>
      <c r="AP19" s="14">
        <f t="shared" si="7"/>
        <v>130099.2</v>
      </c>
    </row>
    <row r="20" s="86" customFormat="1" ht="24.95" customHeight="1" spans="1:42">
      <c r="A20" s="99">
        <v>16</v>
      </c>
      <c r="B20" s="99" t="s">
        <v>312</v>
      </c>
      <c r="C20" s="100" t="s">
        <v>242</v>
      </c>
      <c r="D20" s="103" t="s">
        <v>264</v>
      </c>
      <c r="E20" s="101" t="s">
        <v>313</v>
      </c>
      <c r="F20" s="99" t="s">
        <v>314</v>
      </c>
      <c r="G20" s="14">
        <v>14</v>
      </c>
      <c r="H20" s="102">
        <v>44372</v>
      </c>
      <c r="I20" s="100" t="s">
        <v>315</v>
      </c>
      <c r="J20" s="114">
        <v>88</v>
      </c>
      <c r="K20" s="114">
        <v>29</v>
      </c>
      <c r="L20" s="114">
        <v>700</v>
      </c>
      <c r="M20" s="114">
        <v>29</v>
      </c>
      <c r="N20" s="99">
        <v>7</v>
      </c>
      <c r="O20" s="14">
        <v>80000</v>
      </c>
      <c r="P20" s="14">
        <v>7079.65</v>
      </c>
      <c r="Q20" s="14">
        <f t="shared" si="9"/>
        <v>12066.75</v>
      </c>
      <c r="R20" s="14">
        <f t="shared" si="10"/>
        <v>8400</v>
      </c>
      <c r="S20" s="14">
        <f t="shared" si="2"/>
        <v>54000</v>
      </c>
      <c r="T20" s="14">
        <v>8198.4</v>
      </c>
      <c r="U20" s="14">
        <v>17383.14</v>
      </c>
      <c r="V20" s="14">
        <f>AM20*7.5*0.14*1.1</f>
        <v>68302.08</v>
      </c>
      <c r="W20" s="14">
        <v>360</v>
      </c>
      <c r="X20" s="14">
        <v>680</v>
      </c>
      <c r="Y20" s="14">
        <f t="shared" si="11"/>
        <v>1484</v>
      </c>
      <c r="Z20" s="14">
        <v>3500</v>
      </c>
      <c r="AA20" s="14">
        <v>8500</v>
      </c>
      <c r="AB20" s="14">
        <v>960</v>
      </c>
      <c r="AC20" s="14">
        <v>40</v>
      </c>
      <c r="AD20" s="14">
        <f>450*12</f>
        <v>5400</v>
      </c>
      <c r="AE20" s="14">
        <f t="shared" si="12"/>
        <v>1200</v>
      </c>
      <c r="AF20" s="14">
        <f t="shared" si="8"/>
        <v>190474.37</v>
      </c>
      <c r="AG20" s="14">
        <f t="shared" si="3"/>
        <v>4804.8</v>
      </c>
      <c r="AH20" s="100" t="s">
        <v>315</v>
      </c>
      <c r="AI20" s="14">
        <v>88</v>
      </c>
      <c r="AJ20" s="14">
        <v>29</v>
      </c>
      <c r="AK20" s="14">
        <f>28*2*1</f>
        <v>56</v>
      </c>
      <c r="AL20" s="14">
        <v>28</v>
      </c>
      <c r="AM20" s="14">
        <f t="shared" si="6"/>
        <v>59136</v>
      </c>
      <c r="AN20" s="14">
        <v>1645</v>
      </c>
      <c r="AO20" s="14">
        <v>7200</v>
      </c>
      <c r="AP20" s="14">
        <f t="shared" si="7"/>
        <v>139339.2</v>
      </c>
    </row>
    <row r="21" s="86" customFormat="1" ht="24.95" customHeight="1" spans="1:42">
      <c r="A21" s="99">
        <v>17</v>
      </c>
      <c r="B21" s="99" t="s">
        <v>316</v>
      </c>
      <c r="C21" s="100" t="s">
        <v>242</v>
      </c>
      <c r="D21" s="103" t="s">
        <v>264</v>
      </c>
      <c r="E21" s="101" t="s">
        <v>317</v>
      </c>
      <c r="F21" s="99" t="s">
        <v>318</v>
      </c>
      <c r="G21" s="14">
        <v>16</v>
      </c>
      <c r="H21" s="102">
        <v>44103</v>
      </c>
      <c r="I21" s="100" t="s">
        <v>319</v>
      </c>
      <c r="J21" s="114">
        <v>53</v>
      </c>
      <c r="K21" s="114">
        <v>17</v>
      </c>
      <c r="L21" s="114">
        <v>740</v>
      </c>
      <c r="M21" s="114">
        <v>17</v>
      </c>
      <c r="N21" s="99">
        <v>7</v>
      </c>
      <c r="O21" s="14">
        <v>145700</v>
      </c>
      <c r="P21" s="14">
        <v>12893.81</v>
      </c>
      <c r="Q21" s="14">
        <f t="shared" si="9"/>
        <v>21976.57</v>
      </c>
      <c r="R21" s="14">
        <f t="shared" si="10"/>
        <v>8880</v>
      </c>
      <c r="S21" s="14">
        <f t="shared" si="2"/>
        <v>54000</v>
      </c>
      <c r="T21" s="14">
        <v>8198.4</v>
      </c>
      <c r="U21" s="14">
        <v>17263.69</v>
      </c>
      <c r="V21" s="14">
        <f>AM21*7.5*0.16*1.1</f>
        <v>141039.36</v>
      </c>
      <c r="W21" s="14">
        <v>360</v>
      </c>
      <c r="X21" s="14">
        <v>680</v>
      </c>
      <c r="Y21" s="14">
        <f t="shared" si="11"/>
        <v>1484</v>
      </c>
      <c r="Z21" s="14">
        <v>4000</v>
      </c>
      <c r="AA21" s="14">
        <v>10500</v>
      </c>
      <c r="AB21" s="14">
        <v>960</v>
      </c>
      <c r="AC21" s="14">
        <v>40</v>
      </c>
      <c r="AD21" s="14">
        <f>450*12</f>
        <v>5400</v>
      </c>
      <c r="AE21" s="14">
        <f t="shared" si="12"/>
        <v>1200</v>
      </c>
      <c r="AF21" s="14">
        <f t="shared" si="8"/>
        <v>275982.02</v>
      </c>
      <c r="AG21" s="14">
        <f t="shared" si="3"/>
        <v>16632</v>
      </c>
      <c r="AH21" s="100" t="s">
        <v>319</v>
      </c>
      <c r="AI21" s="14">
        <v>53</v>
      </c>
      <c r="AJ21" s="14">
        <v>17</v>
      </c>
      <c r="AK21" s="14">
        <f>28*2*3</f>
        <v>168</v>
      </c>
      <c r="AL21" s="14">
        <v>28</v>
      </c>
      <c r="AM21" s="14">
        <f t="shared" si="6"/>
        <v>106848</v>
      </c>
      <c r="AN21" s="14">
        <v>1645</v>
      </c>
      <c r="AO21" s="14">
        <v>7200</v>
      </c>
      <c r="AP21" s="14">
        <f t="shared" si="7"/>
        <v>282744</v>
      </c>
    </row>
    <row r="22" s="86" customFormat="1" ht="24.95" customHeight="1" spans="1:42">
      <c r="A22" s="99">
        <v>18</v>
      </c>
      <c r="B22" s="99" t="s">
        <v>320</v>
      </c>
      <c r="C22" s="100" t="s">
        <v>321</v>
      </c>
      <c r="D22" s="103" t="s">
        <v>322</v>
      </c>
      <c r="E22" s="101">
        <v>52437</v>
      </c>
      <c r="F22" s="99" t="s">
        <v>323</v>
      </c>
      <c r="G22" s="14">
        <v>9</v>
      </c>
      <c r="H22" s="102">
        <v>43188</v>
      </c>
      <c r="I22" s="100" t="s">
        <v>324</v>
      </c>
      <c r="J22" s="114">
        <v>70</v>
      </c>
      <c r="K22" s="114">
        <v>30</v>
      </c>
      <c r="L22" s="114">
        <v>580</v>
      </c>
      <c r="M22" s="114">
        <v>30</v>
      </c>
      <c r="N22" s="99">
        <v>7</v>
      </c>
      <c r="O22" s="14">
        <v>69000</v>
      </c>
      <c r="P22" s="14">
        <v>5897.44</v>
      </c>
      <c r="Q22" s="14">
        <f t="shared" si="9"/>
        <v>10378.65</v>
      </c>
      <c r="R22" s="14">
        <f t="shared" si="10"/>
        <v>6960</v>
      </c>
      <c r="S22" s="14">
        <f t="shared" si="2"/>
        <v>54000</v>
      </c>
      <c r="T22" s="14">
        <v>8198.4</v>
      </c>
      <c r="U22" s="14">
        <v>10876.83</v>
      </c>
      <c r="V22" s="14">
        <f>AM22*0.12*7.5*1.1</f>
        <v>46569.6</v>
      </c>
      <c r="W22" s="14">
        <v>360</v>
      </c>
      <c r="X22" s="14">
        <v>680</v>
      </c>
      <c r="Y22" s="14">
        <f t="shared" si="11"/>
        <v>1484</v>
      </c>
      <c r="Z22" s="14">
        <v>3210</v>
      </c>
      <c r="AA22" s="14">
        <v>8000</v>
      </c>
      <c r="AB22" s="14">
        <v>960</v>
      </c>
      <c r="AC22" s="14">
        <v>40</v>
      </c>
      <c r="AD22" s="14">
        <f>360*12</f>
        <v>4320</v>
      </c>
      <c r="AE22" s="14">
        <f t="shared" si="12"/>
        <v>1200</v>
      </c>
      <c r="AF22" s="14">
        <f t="shared" si="8"/>
        <v>157237.48</v>
      </c>
      <c r="AG22" s="14">
        <f t="shared" si="3"/>
        <v>2956.8</v>
      </c>
      <c r="AH22" s="100" t="s">
        <v>324</v>
      </c>
      <c r="AI22" s="14">
        <v>70</v>
      </c>
      <c r="AJ22" s="14">
        <v>30</v>
      </c>
      <c r="AK22" s="14">
        <f>28*2*1</f>
        <v>56</v>
      </c>
      <c r="AL22" s="14">
        <v>28</v>
      </c>
      <c r="AM22" s="14">
        <f t="shared" si="6"/>
        <v>47040</v>
      </c>
      <c r="AN22" s="14">
        <v>1645</v>
      </c>
      <c r="AO22" s="14">
        <v>7200</v>
      </c>
      <c r="AP22" s="14">
        <f t="shared" si="7"/>
        <v>88704</v>
      </c>
    </row>
    <row r="23" s="86" customFormat="1" ht="24.95" customHeight="1" spans="1:42">
      <c r="A23" s="99">
        <v>19</v>
      </c>
      <c r="B23" s="99" t="s">
        <v>325</v>
      </c>
      <c r="C23" s="100" t="s">
        <v>269</v>
      </c>
      <c r="D23" s="103" t="s">
        <v>326</v>
      </c>
      <c r="E23" s="101" t="s">
        <v>327</v>
      </c>
      <c r="F23" s="99" t="s">
        <v>328</v>
      </c>
      <c r="G23" s="14">
        <v>17</v>
      </c>
      <c r="H23" s="102">
        <v>43979</v>
      </c>
      <c r="I23" s="100" t="s">
        <v>329</v>
      </c>
      <c r="J23" s="114">
        <v>67</v>
      </c>
      <c r="K23" s="114">
        <v>30</v>
      </c>
      <c r="L23" s="114">
        <v>740</v>
      </c>
      <c r="M23" s="114">
        <v>30</v>
      </c>
      <c r="N23" s="99">
        <v>7</v>
      </c>
      <c r="O23" s="14">
        <v>178000</v>
      </c>
      <c r="P23" s="14">
        <v>15752.21</v>
      </c>
      <c r="Q23" s="14">
        <f t="shared" si="9"/>
        <v>26848.52</v>
      </c>
      <c r="R23" s="14">
        <f t="shared" si="10"/>
        <v>8880</v>
      </c>
      <c r="S23" s="14">
        <f t="shared" si="2"/>
        <v>54000</v>
      </c>
      <c r="T23" s="14">
        <v>8198.4</v>
      </c>
      <c r="U23" s="14">
        <v>16086.37</v>
      </c>
      <c r="V23" s="14">
        <f>AM23*7.5*0.16*1.1</f>
        <v>59431.68</v>
      </c>
      <c r="W23" s="14">
        <v>360</v>
      </c>
      <c r="X23" s="14">
        <v>680</v>
      </c>
      <c r="Y23" s="14">
        <f t="shared" si="11"/>
        <v>1484</v>
      </c>
      <c r="Z23" s="14">
        <v>4000</v>
      </c>
      <c r="AA23" s="14">
        <v>10500</v>
      </c>
      <c r="AB23" s="14">
        <v>960</v>
      </c>
      <c r="AC23" s="14">
        <v>40</v>
      </c>
      <c r="AD23" s="14">
        <f>450*12</f>
        <v>5400</v>
      </c>
      <c r="AE23" s="14">
        <f t="shared" si="12"/>
        <v>1200</v>
      </c>
      <c r="AF23" s="14">
        <f t="shared" si="8"/>
        <v>198068.97</v>
      </c>
      <c r="AG23" s="14">
        <f t="shared" si="3"/>
        <v>5913.6</v>
      </c>
      <c r="AH23" s="100" t="s">
        <v>329</v>
      </c>
      <c r="AI23" s="14">
        <v>67</v>
      </c>
      <c r="AJ23" s="14">
        <v>30</v>
      </c>
      <c r="AK23" s="14">
        <f>28*2*1</f>
        <v>56</v>
      </c>
      <c r="AL23" s="14">
        <v>28</v>
      </c>
      <c r="AM23" s="14">
        <f t="shared" si="6"/>
        <v>45024</v>
      </c>
      <c r="AN23" s="14">
        <v>1645</v>
      </c>
      <c r="AO23" s="14">
        <v>7200</v>
      </c>
      <c r="AP23" s="14">
        <f t="shared" si="7"/>
        <v>177408</v>
      </c>
    </row>
    <row r="24" s="86" customFormat="1" ht="24.95" customHeight="1" spans="1:42">
      <c r="A24" s="99">
        <v>20</v>
      </c>
      <c r="B24" s="99" t="s">
        <v>330</v>
      </c>
      <c r="C24" s="100" t="s">
        <v>269</v>
      </c>
      <c r="D24" s="103" t="s">
        <v>331</v>
      </c>
      <c r="E24" s="101" t="s">
        <v>332</v>
      </c>
      <c r="F24" s="99" t="s">
        <v>333</v>
      </c>
      <c r="G24" s="14">
        <v>16</v>
      </c>
      <c r="H24" s="102">
        <v>44270</v>
      </c>
      <c r="I24" s="100" t="s">
        <v>334</v>
      </c>
      <c r="J24" s="114">
        <v>107</v>
      </c>
      <c r="K24" s="114">
        <v>37</v>
      </c>
      <c r="L24" s="114">
        <v>740</v>
      </c>
      <c r="M24" s="114">
        <v>37</v>
      </c>
      <c r="N24" s="99">
        <v>7</v>
      </c>
      <c r="O24" s="14">
        <v>180000</v>
      </c>
      <c r="P24" s="14">
        <v>15929.2</v>
      </c>
      <c r="Q24" s="14">
        <f t="shared" si="9"/>
        <v>27150.19</v>
      </c>
      <c r="R24" s="14">
        <f t="shared" si="10"/>
        <v>8880</v>
      </c>
      <c r="S24" s="14">
        <f t="shared" si="2"/>
        <v>54000</v>
      </c>
      <c r="T24" s="14">
        <v>8198.4</v>
      </c>
      <c r="U24" s="14">
        <v>17263.69</v>
      </c>
      <c r="V24" s="14">
        <f>AM24*7.5*0.16*1.1</f>
        <v>94913.28</v>
      </c>
      <c r="W24" s="14">
        <v>360</v>
      </c>
      <c r="X24" s="14">
        <v>680</v>
      </c>
      <c r="Y24" s="14">
        <f t="shared" si="11"/>
        <v>1484</v>
      </c>
      <c r="Z24" s="14">
        <v>4000</v>
      </c>
      <c r="AA24" s="14">
        <v>10500</v>
      </c>
      <c r="AB24" s="14">
        <v>960</v>
      </c>
      <c r="AC24" s="14">
        <v>40</v>
      </c>
      <c r="AD24" s="14">
        <f>450*12</f>
        <v>5400</v>
      </c>
      <c r="AE24" s="14">
        <f t="shared" si="12"/>
        <v>1200</v>
      </c>
      <c r="AF24" s="14">
        <f t="shared" si="8"/>
        <v>235029.56</v>
      </c>
      <c r="AG24" s="14">
        <f>(G24-1)*AK24*12*通江农村客运车辆成本信息核定表!$G$8</f>
        <v>5544</v>
      </c>
      <c r="AH24" s="100" t="s">
        <v>334</v>
      </c>
      <c r="AI24" s="14">
        <v>107</v>
      </c>
      <c r="AJ24" s="14">
        <v>37</v>
      </c>
      <c r="AK24" s="14">
        <f>28*2*1</f>
        <v>56</v>
      </c>
      <c r="AL24" s="14">
        <v>28</v>
      </c>
      <c r="AM24" s="14">
        <f t="shared" si="6"/>
        <v>71904</v>
      </c>
      <c r="AN24" s="14">
        <v>1645</v>
      </c>
      <c r="AO24" s="14">
        <v>7200</v>
      </c>
      <c r="AP24" s="14">
        <f t="shared" si="7"/>
        <v>205128</v>
      </c>
    </row>
    <row r="25" s="86" customFormat="1" ht="24.95" customHeight="1" spans="1:42">
      <c r="A25" s="99">
        <v>21</v>
      </c>
      <c r="B25" s="99" t="s">
        <v>335</v>
      </c>
      <c r="C25" s="100" t="s">
        <v>336</v>
      </c>
      <c r="D25" s="103" t="s">
        <v>337</v>
      </c>
      <c r="E25" s="101" t="s">
        <v>338</v>
      </c>
      <c r="F25" s="99" t="s">
        <v>339</v>
      </c>
      <c r="G25" s="14">
        <v>17</v>
      </c>
      <c r="H25" s="102">
        <v>42489</v>
      </c>
      <c r="I25" s="100" t="s">
        <v>340</v>
      </c>
      <c r="J25" s="114">
        <v>70</v>
      </c>
      <c r="K25" s="114">
        <v>30</v>
      </c>
      <c r="L25" s="114">
        <v>740</v>
      </c>
      <c r="M25" s="114">
        <v>30</v>
      </c>
      <c r="N25" s="99">
        <v>7</v>
      </c>
      <c r="O25" s="14">
        <v>164500</v>
      </c>
      <c r="P25" s="14">
        <v>14059.83</v>
      </c>
      <c r="Q25" s="14">
        <f t="shared" si="9"/>
        <v>24743.29</v>
      </c>
      <c r="R25" s="14">
        <f t="shared" si="10"/>
        <v>8880</v>
      </c>
      <c r="S25" s="14">
        <f t="shared" si="2"/>
        <v>54000</v>
      </c>
      <c r="T25" s="14">
        <v>8198.4</v>
      </c>
      <c r="U25" s="14">
        <v>16086.37</v>
      </c>
      <c r="V25" s="14">
        <f>AM25*7.5*0.16*1.1</f>
        <v>62092.8</v>
      </c>
      <c r="W25" s="14">
        <v>360</v>
      </c>
      <c r="X25" s="14">
        <v>680</v>
      </c>
      <c r="Y25" s="14">
        <f t="shared" si="11"/>
        <v>1484</v>
      </c>
      <c r="Z25" s="14">
        <v>4000</v>
      </c>
      <c r="AA25" s="14">
        <v>10500</v>
      </c>
      <c r="AB25" s="14">
        <v>960</v>
      </c>
      <c r="AC25" s="14">
        <v>40</v>
      </c>
      <c r="AD25" s="14">
        <f>450*12</f>
        <v>5400</v>
      </c>
      <c r="AE25" s="14">
        <f t="shared" si="12"/>
        <v>1200</v>
      </c>
      <c r="AF25" s="14">
        <f t="shared" si="8"/>
        <v>198624.86</v>
      </c>
      <c r="AG25" s="14">
        <f>(G25-1)*AK25*12*通江农村客运车辆成本信息核定表!$G$8</f>
        <v>5913.6</v>
      </c>
      <c r="AH25" s="100" t="s">
        <v>340</v>
      </c>
      <c r="AI25" s="14">
        <v>70</v>
      </c>
      <c r="AJ25" s="14">
        <v>30</v>
      </c>
      <c r="AK25" s="14">
        <f>28*2*1</f>
        <v>56</v>
      </c>
      <c r="AL25" s="14">
        <v>28</v>
      </c>
      <c r="AM25" s="14">
        <f t="shared" si="6"/>
        <v>47040</v>
      </c>
      <c r="AN25" s="14">
        <v>1645</v>
      </c>
      <c r="AO25" s="14">
        <v>7200</v>
      </c>
      <c r="AP25" s="14">
        <f t="shared" si="7"/>
        <v>177408</v>
      </c>
    </row>
    <row r="26" s="86" customFormat="1" ht="24.95" customHeight="1" spans="1:42">
      <c r="A26" s="99">
        <v>22</v>
      </c>
      <c r="B26" s="99" t="s">
        <v>341</v>
      </c>
      <c r="C26" s="100" t="s">
        <v>236</v>
      </c>
      <c r="D26" s="103" t="s">
        <v>342</v>
      </c>
      <c r="E26" s="101" t="s">
        <v>343</v>
      </c>
      <c r="F26" s="99" t="s">
        <v>344</v>
      </c>
      <c r="G26" s="14">
        <v>9</v>
      </c>
      <c r="H26" s="102">
        <v>44316</v>
      </c>
      <c r="I26" s="100" t="s">
        <v>345</v>
      </c>
      <c r="J26" s="114">
        <v>65</v>
      </c>
      <c r="K26" s="114">
        <v>25</v>
      </c>
      <c r="L26" s="114">
        <v>580</v>
      </c>
      <c r="M26" s="114">
        <v>25</v>
      </c>
      <c r="N26" s="99">
        <v>7</v>
      </c>
      <c r="O26" s="14">
        <v>80000</v>
      </c>
      <c r="P26" s="14">
        <v>7079.65</v>
      </c>
      <c r="Q26" s="14">
        <f t="shared" si="9"/>
        <v>12066.75</v>
      </c>
      <c r="R26" s="14">
        <f t="shared" si="10"/>
        <v>6960</v>
      </c>
      <c r="S26" s="14">
        <f t="shared" si="2"/>
        <v>54000</v>
      </c>
      <c r="T26" s="14">
        <v>8198.4</v>
      </c>
      <c r="U26" s="14">
        <v>10876.83</v>
      </c>
      <c r="V26" s="14">
        <f t="shared" ref="V26:V33" si="13">AM26*0.12*7.5*1.1</f>
        <v>43243.2</v>
      </c>
      <c r="W26" s="14">
        <v>360</v>
      </c>
      <c r="X26" s="14">
        <v>680</v>
      </c>
      <c r="Y26" s="14">
        <f t="shared" ref="Y26:Y35" si="14">371*4</f>
        <v>1484</v>
      </c>
      <c r="Z26" s="14">
        <v>3210</v>
      </c>
      <c r="AA26" s="14">
        <v>8000</v>
      </c>
      <c r="AB26" s="14">
        <v>960</v>
      </c>
      <c r="AC26" s="14">
        <v>40</v>
      </c>
      <c r="AD26" s="14">
        <f t="shared" ref="AD26:AD33" si="15">360*12</f>
        <v>4320</v>
      </c>
      <c r="AE26" s="14">
        <f t="shared" ref="AE26:AE35" si="16">100*12</f>
        <v>1200</v>
      </c>
      <c r="AF26" s="14">
        <f t="shared" si="8"/>
        <v>155599.18</v>
      </c>
      <c r="AG26" s="14">
        <f>(G26-1)*AK26*12*通江农村客运车辆成本信息核定表!$G$8</f>
        <v>2956.8</v>
      </c>
      <c r="AH26" s="100" t="s">
        <v>345</v>
      </c>
      <c r="AI26" s="14">
        <v>65</v>
      </c>
      <c r="AJ26" s="14">
        <v>25</v>
      </c>
      <c r="AK26" s="14">
        <f>28*2*1</f>
        <v>56</v>
      </c>
      <c r="AL26" s="14">
        <v>28</v>
      </c>
      <c r="AM26" s="14">
        <f t="shared" si="6"/>
        <v>43680</v>
      </c>
      <c r="AN26" s="14">
        <v>1645</v>
      </c>
      <c r="AO26" s="14">
        <v>7200</v>
      </c>
      <c r="AP26" s="14">
        <f t="shared" si="7"/>
        <v>73920</v>
      </c>
    </row>
    <row r="27" s="86" customFormat="1" ht="24.95" customHeight="1" spans="1:42">
      <c r="A27" s="99">
        <v>23</v>
      </c>
      <c r="B27" s="99" t="s">
        <v>346</v>
      </c>
      <c r="C27" s="100" t="s">
        <v>347</v>
      </c>
      <c r="D27" s="103" t="s">
        <v>348</v>
      </c>
      <c r="E27" s="101" t="s">
        <v>349</v>
      </c>
      <c r="F27" s="99" t="s">
        <v>350</v>
      </c>
      <c r="G27" s="14">
        <v>7</v>
      </c>
      <c r="H27" s="102">
        <v>43923</v>
      </c>
      <c r="I27" s="100" t="s">
        <v>351</v>
      </c>
      <c r="J27" s="114">
        <v>15</v>
      </c>
      <c r="K27" s="114">
        <v>7</v>
      </c>
      <c r="L27" s="114">
        <v>420</v>
      </c>
      <c r="M27" s="114">
        <v>7</v>
      </c>
      <c r="N27" s="99">
        <v>7</v>
      </c>
      <c r="O27" s="14">
        <v>5000</v>
      </c>
      <c r="P27" s="14"/>
      <c r="Q27" s="14">
        <f t="shared" si="9"/>
        <v>692.86</v>
      </c>
      <c r="R27" s="14">
        <f t="shared" si="10"/>
        <v>5040</v>
      </c>
      <c r="S27" s="14">
        <f t="shared" si="2"/>
        <v>54000</v>
      </c>
      <c r="T27" s="14">
        <v>8198.4</v>
      </c>
      <c r="U27" s="14">
        <v>7026.29</v>
      </c>
      <c r="V27" s="14">
        <f t="shared" si="13"/>
        <v>29937.6</v>
      </c>
      <c r="W27" s="14">
        <v>360</v>
      </c>
      <c r="X27" s="14">
        <v>680</v>
      </c>
      <c r="Y27" s="14">
        <f t="shared" si="14"/>
        <v>1484</v>
      </c>
      <c r="Z27" s="14">
        <v>3210</v>
      </c>
      <c r="AA27" s="14">
        <v>8000</v>
      </c>
      <c r="AB27" s="14">
        <v>960</v>
      </c>
      <c r="AC27" s="14">
        <v>40</v>
      </c>
      <c r="AD27" s="14">
        <f t="shared" si="15"/>
        <v>4320</v>
      </c>
      <c r="AE27" s="14">
        <f t="shared" si="16"/>
        <v>1200</v>
      </c>
      <c r="AF27" s="14">
        <f t="shared" si="8"/>
        <v>125149.15</v>
      </c>
      <c r="AG27" s="14">
        <f>(G27-1)*AK27*12*通江农村客运车辆成本信息核定表!$G$8</f>
        <v>6652.8</v>
      </c>
      <c r="AH27" s="100" t="s">
        <v>351</v>
      </c>
      <c r="AI27" s="14">
        <v>15</v>
      </c>
      <c r="AJ27" s="14">
        <v>7</v>
      </c>
      <c r="AK27" s="14">
        <f>28*2*3</f>
        <v>168</v>
      </c>
      <c r="AL27" s="14">
        <v>28</v>
      </c>
      <c r="AM27" s="14">
        <f t="shared" si="6"/>
        <v>30240</v>
      </c>
      <c r="AN27" s="14">
        <v>1645</v>
      </c>
      <c r="AO27" s="14">
        <v>7200</v>
      </c>
      <c r="AP27" s="14">
        <f t="shared" si="7"/>
        <v>46569.6</v>
      </c>
    </row>
    <row r="28" s="86" customFormat="1" ht="24.95" customHeight="1" spans="1:42">
      <c r="A28" s="99">
        <v>24</v>
      </c>
      <c r="B28" s="99" t="s">
        <v>352</v>
      </c>
      <c r="C28" s="100" t="s">
        <v>347</v>
      </c>
      <c r="D28" s="103" t="s">
        <v>353</v>
      </c>
      <c r="E28" s="101" t="s">
        <v>354</v>
      </c>
      <c r="F28" s="99" t="s">
        <v>355</v>
      </c>
      <c r="G28" s="14">
        <v>7</v>
      </c>
      <c r="H28" s="102">
        <v>44057</v>
      </c>
      <c r="I28" s="100" t="s">
        <v>356</v>
      </c>
      <c r="J28" s="114">
        <v>40</v>
      </c>
      <c r="K28" s="114">
        <v>30</v>
      </c>
      <c r="L28" s="114">
        <v>420</v>
      </c>
      <c r="M28" s="114">
        <v>30</v>
      </c>
      <c r="N28" s="99">
        <v>7</v>
      </c>
      <c r="O28" s="14">
        <v>49000</v>
      </c>
      <c r="P28" s="14">
        <v>4336.28</v>
      </c>
      <c r="Q28" s="14">
        <f t="shared" si="9"/>
        <v>7390.88</v>
      </c>
      <c r="R28" s="14">
        <f t="shared" si="10"/>
        <v>5040</v>
      </c>
      <c r="S28" s="14">
        <f t="shared" si="2"/>
        <v>54000</v>
      </c>
      <c r="T28" s="14">
        <v>8198.4</v>
      </c>
      <c r="U28" s="14">
        <v>7026.29</v>
      </c>
      <c r="V28" s="14">
        <f t="shared" si="13"/>
        <v>26611.2</v>
      </c>
      <c r="W28" s="14">
        <v>360</v>
      </c>
      <c r="X28" s="14">
        <v>680</v>
      </c>
      <c r="Y28" s="14">
        <f t="shared" si="14"/>
        <v>1484</v>
      </c>
      <c r="Z28" s="14">
        <v>3210</v>
      </c>
      <c r="AA28" s="14">
        <v>8000</v>
      </c>
      <c r="AB28" s="14">
        <v>960</v>
      </c>
      <c r="AC28" s="14">
        <v>40</v>
      </c>
      <c r="AD28" s="14">
        <f t="shared" si="15"/>
        <v>4320</v>
      </c>
      <c r="AE28" s="14">
        <f t="shared" si="16"/>
        <v>1200</v>
      </c>
      <c r="AF28" s="14">
        <f t="shared" si="8"/>
        <v>128520.77</v>
      </c>
      <c r="AG28" s="14">
        <f>(G28-1)*AK28*12*通江农村客运车辆成本信息核定表!$G$8</f>
        <v>2217.6</v>
      </c>
      <c r="AH28" s="100" t="s">
        <v>356</v>
      </c>
      <c r="AI28" s="14">
        <v>40</v>
      </c>
      <c r="AJ28" s="14">
        <v>30</v>
      </c>
      <c r="AK28" s="14">
        <f>28*2*1</f>
        <v>56</v>
      </c>
      <c r="AL28" s="14">
        <v>28</v>
      </c>
      <c r="AM28" s="14">
        <f t="shared" si="6"/>
        <v>26880</v>
      </c>
      <c r="AN28" s="14">
        <v>1645</v>
      </c>
      <c r="AO28" s="14">
        <v>7200</v>
      </c>
      <c r="AP28" s="14">
        <f t="shared" si="7"/>
        <v>66528</v>
      </c>
    </row>
    <row r="29" s="86" customFormat="1" ht="24.95" customHeight="1" spans="1:42">
      <c r="A29" s="99">
        <v>25</v>
      </c>
      <c r="B29" s="125" t="s">
        <v>357</v>
      </c>
      <c r="C29" s="100" t="s">
        <v>347</v>
      </c>
      <c r="D29" s="103" t="s">
        <v>358</v>
      </c>
      <c r="E29" s="101">
        <v>19307326</v>
      </c>
      <c r="F29" s="99" t="s">
        <v>359</v>
      </c>
      <c r="G29" s="14">
        <v>7</v>
      </c>
      <c r="H29" s="102">
        <v>43986</v>
      </c>
      <c r="I29" s="100" t="s">
        <v>360</v>
      </c>
      <c r="J29" s="114">
        <v>15</v>
      </c>
      <c r="K29" s="114">
        <v>7</v>
      </c>
      <c r="L29" s="114">
        <v>420</v>
      </c>
      <c r="M29" s="114">
        <v>7</v>
      </c>
      <c r="N29" s="99">
        <v>7</v>
      </c>
      <c r="O29" s="14">
        <v>42000</v>
      </c>
      <c r="P29" s="14">
        <v>3716.81</v>
      </c>
      <c r="Q29" s="14">
        <f t="shared" si="9"/>
        <v>6335.04</v>
      </c>
      <c r="R29" s="14">
        <f t="shared" si="10"/>
        <v>5040</v>
      </c>
      <c r="S29" s="14">
        <f t="shared" si="2"/>
        <v>54000</v>
      </c>
      <c r="T29" s="14">
        <v>8198.4</v>
      </c>
      <c r="U29" s="14">
        <v>7026.29</v>
      </c>
      <c r="V29" s="14">
        <f t="shared" si="13"/>
        <v>29937.6</v>
      </c>
      <c r="W29" s="14">
        <v>360</v>
      </c>
      <c r="X29" s="14">
        <v>680</v>
      </c>
      <c r="Y29" s="14">
        <f t="shared" si="14"/>
        <v>1484</v>
      </c>
      <c r="Z29" s="14">
        <v>3210</v>
      </c>
      <c r="AA29" s="14">
        <v>8000</v>
      </c>
      <c r="AB29" s="14">
        <v>960</v>
      </c>
      <c r="AC29" s="14">
        <v>40</v>
      </c>
      <c r="AD29" s="14">
        <f t="shared" si="15"/>
        <v>4320</v>
      </c>
      <c r="AE29" s="14">
        <f t="shared" si="16"/>
        <v>1200</v>
      </c>
      <c r="AF29" s="14">
        <f t="shared" si="8"/>
        <v>130791.33</v>
      </c>
      <c r="AG29" s="14">
        <f>(G29-1)*AK29*12*通江农村客运车辆成本信息核定表!$G$8</f>
        <v>6652.8</v>
      </c>
      <c r="AH29" s="100" t="s">
        <v>360</v>
      </c>
      <c r="AI29" s="14">
        <v>15</v>
      </c>
      <c r="AJ29" s="14">
        <v>7</v>
      </c>
      <c r="AK29" s="14">
        <f>28*2*3</f>
        <v>168</v>
      </c>
      <c r="AL29" s="14">
        <v>28</v>
      </c>
      <c r="AM29" s="14">
        <f t="shared" si="6"/>
        <v>30240</v>
      </c>
      <c r="AN29" s="14">
        <v>1645</v>
      </c>
      <c r="AO29" s="14">
        <v>7200</v>
      </c>
      <c r="AP29" s="14">
        <f t="shared" si="7"/>
        <v>46569.6</v>
      </c>
    </row>
    <row r="30" s="86" customFormat="1" ht="24.95" customHeight="1" spans="1:42">
      <c r="A30" s="99">
        <v>26</v>
      </c>
      <c r="B30" s="99" t="s">
        <v>361</v>
      </c>
      <c r="C30" s="100" t="s">
        <v>347</v>
      </c>
      <c r="D30" s="103" t="s">
        <v>362</v>
      </c>
      <c r="E30" s="101" t="s">
        <v>363</v>
      </c>
      <c r="F30" s="99" t="s">
        <v>364</v>
      </c>
      <c r="G30" s="14">
        <v>8</v>
      </c>
      <c r="H30" s="102">
        <v>42831</v>
      </c>
      <c r="I30" s="100" t="s">
        <v>365</v>
      </c>
      <c r="J30" s="114">
        <v>40</v>
      </c>
      <c r="K30" s="114">
        <v>20</v>
      </c>
      <c r="L30" s="114">
        <v>420</v>
      </c>
      <c r="M30" s="114">
        <v>20</v>
      </c>
      <c r="N30" s="99">
        <v>7</v>
      </c>
      <c r="O30" s="14">
        <v>40800</v>
      </c>
      <c r="P30" s="14">
        <v>3487.18</v>
      </c>
      <c r="Q30" s="14">
        <f t="shared" si="9"/>
        <v>6136.94</v>
      </c>
      <c r="R30" s="14">
        <f t="shared" si="10"/>
        <v>5040</v>
      </c>
      <c r="S30" s="14">
        <f t="shared" si="2"/>
        <v>54000</v>
      </c>
      <c r="T30" s="14">
        <v>8198.4</v>
      </c>
      <c r="U30" s="14">
        <v>9873.52</v>
      </c>
      <c r="V30" s="14">
        <f t="shared" si="13"/>
        <v>53222.4</v>
      </c>
      <c r="W30" s="14">
        <v>360</v>
      </c>
      <c r="X30" s="14">
        <v>680</v>
      </c>
      <c r="Y30" s="14">
        <f t="shared" si="14"/>
        <v>1484</v>
      </c>
      <c r="Z30" s="14">
        <v>3210</v>
      </c>
      <c r="AA30" s="14">
        <v>8000</v>
      </c>
      <c r="AB30" s="14">
        <v>960</v>
      </c>
      <c r="AC30" s="14">
        <v>40</v>
      </c>
      <c r="AD30" s="14">
        <f t="shared" si="15"/>
        <v>4320</v>
      </c>
      <c r="AE30" s="14">
        <f t="shared" si="16"/>
        <v>1200</v>
      </c>
      <c r="AF30" s="14">
        <f t="shared" si="8"/>
        <v>156725.26</v>
      </c>
      <c r="AG30" s="14">
        <f>(G30-1)*AK30*12*通江农村客运车辆成本信息核定表!$G$8</f>
        <v>5174.4</v>
      </c>
      <c r="AH30" s="100" t="s">
        <v>365</v>
      </c>
      <c r="AI30" s="14">
        <v>40</v>
      </c>
      <c r="AJ30" s="14">
        <v>20</v>
      </c>
      <c r="AK30" s="14">
        <f t="shared" ref="AK30:AK32" si="17">28*2*2</f>
        <v>112</v>
      </c>
      <c r="AL30" s="14">
        <v>28</v>
      </c>
      <c r="AM30" s="14">
        <f t="shared" si="6"/>
        <v>53760</v>
      </c>
      <c r="AN30" s="14">
        <v>1645</v>
      </c>
      <c r="AO30" s="14">
        <v>7200</v>
      </c>
      <c r="AP30" s="14">
        <f t="shared" si="7"/>
        <v>103488</v>
      </c>
    </row>
    <row r="31" s="86" customFormat="1" ht="24.95" customHeight="1" spans="1:42">
      <c r="A31" s="99">
        <v>27</v>
      </c>
      <c r="B31" s="99" t="s">
        <v>366</v>
      </c>
      <c r="C31" s="100" t="s">
        <v>347</v>
      </c>
      <c r="D31" s="103" t="s">
        <v>367</v>
      </c>
      <c r="E31" s="101">
        <v>192844506</v>
      </c>
      <c r="F31" s="99" t="s">
        <v>368</v>
      </c>
      <c r="G31" s="14">
        <v>7</v>
      </c>
      <c r="H31" s="102">
        <v>43986</v>
      </c>
      <c r="I31" s="100" t="s">
        <v>369</v>
      </c>
      <c r="J31" s="114">
        <v>16</v>
      </c>
      <c r="K31" s="114">
        <v>12</v>
      </c>
      <c r="L31" s="114">
        <v>420</v>
      </c>
      <c r="M31" s="114">
        <v>12</v>
      </c>
      <c r="N31" s="99">
        <v>7</v>
      </c>
      <c r="O31" s="14">
        <v>30000</v>
      </c>
      <c r="P31" s="14"/>
      <c r="Q31" s="14">
        <f t="shared" si="9"/>
        <v>4157.14</v>
      </c>
      <c r="R31" s="14">
        <f t="shared" si="10"/>
        <v>5040</v>
      </c>
      <c r="S31" s="14">
        <f t="shared" si="2"/>
        <v>54000</v>
      </c>
      <c r="T31" s="14">
        <v>8198.4</v>
      </c>
      <c r="U31" s="14">
        <v>7026.29</v>
      </c>
      <c r="V31" s="14">
        <f t="shared" si="13"/>
        <v>21288.96</v>
      </c>
      <c r="W31" s="14">
        <v>360</v>
      </c>
      <c r="X31" s="14">
        <v>680</v>
      </c>
      <c r="Y31" s="14">
        <f t="shared" si="14"/>
        <v>1484</v>
      </c>
      <c r="Z31" s="14">
        <v>3210</v>
      </c>
      <c r="AA31" s="14">
        <v>8000</v>
      </c>
      <c r="AB31" s="14">
        <v>960</v>
      </c>
      <c r="AC31" s="14">
        <v>40</v>
      </c>
      <c r="AD31" s="14">
        <f t="shared" si="15"/>
        <v>4320</v>
      </c>
      <c r="AE31" s="14">
        <f t="shared" si="16"/>
        <v>1200</v>
      </c>
      <c r="AF31" s="14">
        <f t="shared" si="8"/>
        <v>119964.79</v>
      </c>
      <c r="AG31" s="14">
        <f>(G31-1)*AK31*12*通江农村客运车辆成本信息核定表!$G$8</f>
        <v>4435.2</v>
      </c>
      <c r="AH31" s="100" t="s">
        <v>369</v>
      </c>
      <c r="AI31" s="14">
        <v>16</v>
      </c>
      <c r="AJ31" s="14">
        <v>12</v>
      </c>
      <c r="AK31" s="14">
        <f t="shared" si="17"/>
        <v>112</v>
      </c>
      <c r="AL31" s="14">
        <v>28</v>
      </c>
      <c r="AM31" s="14">
        <f t="shared" si="6"/>
        <v>21504</v>
      </c>
      <c r="AN31" s="14">
        <v>1645</v>
      </c>
      <c r="AO31" s="14">
        <v>7200</v>
      </c>
      <c r="AP31" s="14">
        <f t="shared" si="7"/>
        <v>53222.4</v>
      </c>
    </row>
    <row r="32" s="86" customFormat="1" ht="24.95" customHeight="1" spans="1:42">
      <c r="A32" s="99">
        <v>28</v>
      </c>
      <c r="B32" s="99" t="s">
        <v>370</v>
      </c>
      <c r="C32" s="100" t="s">
        <v>347</v>
      </c>
      <c r="D32" s="103" t="s">
        <v>371</v>
      </c>
      <c r="E32" s="103" t="s">
        <v>372</v>
      </c>
      <c r="F32" s="104" t="s">
        <v>373</v>
      </c>
      <c r="G32" s="14">
        <v>8</v>
      </c>
      <c r="H32" s="102">
        <v>42801</v>
      </c>
      <c r="I32" s="100" t="s">
        <v>374</v>
      </c>
      <c r="J32" s="114">
        <v>16</v>
      </c>
      <c r="K32" s="114">
        <v>11</v>
      </c>
      <c r="L32" s="114">
        <v>420</v>
      </c>
      <c r="M32" s="114">
        <v>11</v>
      </c>
      <c r="N32" s="99">
        <v>7</v>
      </c>
      <c r="O32" s="14">
        <f>17863.2+17863.2*0.13</f>
        <v>20185.416</v>
      </c>
      <c r="P32" s="14">
        <v>1786.32</v>
      </c>
      <c r="Q32" s="14">
        <f t="shared" si="9"/>
        <v>3044.65</v>
      </c>
      <c r="R32" s="14">
        <f t="shared" si="10"/>
        <v>5040</v>
      </c>
      <c r="S32" s="14">
        <f t="shared" si="2"/>
        <v>54000</v>
      </c>
      <c r="T32" s="14">
        <v>8198.4</v>
      </c>
      <c r="U32" s="14">
        <v>9873.52</v>
      </c>
      <c r="V32" s="14">
        <f t="shared" si="13"/>
        <v>21288.96</v>
      </c>
      <c r="W32" s="14">
        <v>360</v>
      </c>
      <c r="X32" s="14">
        <v>680</v>
      </c>
      <c r="Y32" s="14">
        <f t="shared" si="14"/>
        <v>1484</v>
      </c>
      <c r="Z32" s="14">
        <v>3210</v>
      </c>
      <c r="AA32" s="14">
        <v>8000</v>
      </c>
      <c r="AB32" s="14">
        <v>960</v>
      </c>
      <c r="AC32" s="14">
        <v>40</v>
      </c>
      <c r="AD32" s="14">
        <f t="shared" si="15"/>
        <v>4320</v>
      </c>
      <c r="AE32" s="14">
        <f t="shared" si="16"/>
        <v>1200</v>
      </c>
      <c r="AF32" s="14">
        <f t="shared" si="8"/>
        <v>121699.53</v>
      </c>
      <c r="AG32" s="14">
        <f>(G32-1)*AK32*12*通江农村客运车辆成本信息核定表!$G$8</f>
        <v>5174.4</v>
      </c>
      <c r="AH32" s="100" t="s">
        <v>374</v>
      </c>
      <c r="AI32" s="14">
        <v>16</v>
      </c>
      <c r="AJ32" s="14">
        <v>11</v>
      </c>
      <c r="AK32" s="14">
        <f t="shared" si="17"/>
        <v>112</v>
      </c>
      <c r="AL32" s="14">
        <v>28</v>
      </c>
      <c r="AM32" s="14">
        <f t="shared" si="6"/>
        <v>21504</v>
      </c>
      <c r="AN32" s="14">
        <v>1645</v>
      </c>
      <c r="AO32" s="14">
        <v>7200</v>
      </c>
      <c r="AP32" s="14">
        <f t="shared" si="7"/>
        <v>56918.4</v>
      </c>
    </row>
    <row r="33" s="86" customFormat="1" ht="24.95" customHeight="1" spans="1:42">
      <c r="A33" s="99">
        <v>29</v>
      </c>
      <c r="B33" s="99" t="s">
        <v>375</v>
      </c>
      <c r="C33" s="100" t="s">
        <v>347</v>
      </c>
      <c r="D33" s="103" t="s">
        <v>376</v>
      </c>
      <c r="E33" s="103" t="s">
        <v>377</v>
      </c>
      <c r="F33" s="104" t="s">
        <v>378</v>
      </c>
      <c r="G33" s="14">
        <v>8</v>
      </c>
      <c r="H33" s="102">
        <v>44015</v>
      </c>
      <c r="I33" s="100" t="s">
        <v>379</v>
      </c>
      <c r="J33" s="114">
        <v>18</v>
      </c>
      <c r="K33" s="114">
        <v>5</v>
      </c>
      <c r="L33" s="114">
        <v>420</v>
      </c>
      <c r="M33" s="114">
        <v>5</v>
      </c>
      <c r="N33" s="99">
        <v>7</v>
      </c>
      <c r="O33" s="14">
        <v>68000</v>
      </c>
      <c r="P33" s="14">
        <v>6017.7</v>
      </c>
      <c r="Q33" s="14">
        <f t="shared" si="9"/>
        <v>10256.74</v>
      </c>
      <c r="R33" s="14">
        <f t="shared" si="10"/>
        <v>5040</v>
      </c>
      <c r="S33" s="14">
        <f t="shared" si="2"/>
        <v>54000</v>
      </c>
      <c r="T33" s="14">
        <v>8198.4</v>
      </c>
      <c r="U33" s="14">
        <v>9873.52</v>
      </c>
      <c r="V33" s="14">
        <f t="shared" si="13"/>
        <v>35925.12</v>
      </c>
      <c r="W33" s="14">
        <v>360</v>
      </c>
      <c r="X33" s="14">
        <v>680</v>
      </c>
      <c r="Y33" s="14">
        <f t="shared" si="14"/>
        <v>1484</v>
      </c>
      <c r="Z33" s="14">
        <v>3210</v>
      </c>
      <c r="AA33" s="14">
        <v>8000</v>
      </c>
      <c r="AB33" s="14">
        <v>960</v>
      </c>
      <c r="AC33" s="14">
        <v>40</v>
      </c>
      <c r="AD33" s="14">
        <f t="shared" si="15"/>
        <v>4320</v>
      </c>
      <c r="AE33" s="14">
        <f t="shared" si="16"/>
        <v>1200</v>
      </c>
      <c r="AF33" s="14">
        <f t="shared" si="8"/>
        <v>143547.78</v>
      </c>
      <c r="AG33" s="14">
        <f>(G33-1)*AK33*12*通江农村客运车辆成本信息核定表!$G$8</f>
        <v>7761.6</v>
      </c>
      <c r="AH33" s="100" t="s">
        <v>379</v>
      </c>
      <c r="AI33" s="14">
        <v>18</v>
      </c>
      <c r="AJ33" s="14">
        <v>5</v>
      </c>
      <c r="AK33" s="14">
        <f>28*2*3</f>
        <v>168</v>
      </c>
      <c r="AL33" s="14">
        <v>28</v>
      </c>
      <c r="AM33" s="14">
        <f t="shared" si="6"/>
        <v>36288</v>
      </c>
      <c r="AN33" s="14">
        <v>1645</v>
      </c>
      <c r="AO33" s="14">
        <v>7200</v>
      </c>
      <c r="AP33" s="14">
        <f t="shared" si="7"/>
        <v>38808</v>
      </c>
    </row>
    <row r="34" s="86" customFormat="1" ht="24.95" customHeight="1" spans="1:42">
      <c r="A34" s="99">
        <v>30</v>
      </c>
      <c r="B34" s="99" t="s">
        <v>380</v>
      </c>
      <c r="C34" s="100" t="s">
        <v>336</v>
      </c>
      <c r="D34" s="103" t="s">
        <v>337</v>
      </c>
      <c r="E34" s="103" t="s">
        <v>381</v>
      </c>
      <c r="F34" s="104" t="s">
        <v>382</v>
      </c>
      <c r="G34" s="14">
        <v>16</v>
      </c>
      <c r="H34" s="102">
        <v>42466</v>
      </c>
      <c r="I34" s="100" t="s">
        <v>383</v>
      </c>
      <c r="J34" s="114">
        <v>170</v>
      </c>
      <c r="K34" s="114">
        <v>58</v>
      </c>
      <c r="L34" s="114">
        <v>740</v>
      </c>
      <c r="M34" s="114">
        <v>58</v>
      </c>
      <c r="N34" s="99">
        <v>7</v>
      </c>
      <c r="O34" s="14">
        <f>141880.3+18444.44</f>
        <v>160324.74</v>
      </c>
      <c r="P34" s="14">
        <v>14188.03</v>
      </c>
      <c r="Q34" s="14">
        <f t="shared" si="9"/>
        <v>24182.48</v>
      </c>
      <c r="R34" s="14">
        <f t="shared" si="10"/>
        <v>8880</v>
      </c>
      <c r="S34" s="14">
        <f t="shared" si="2"/>
        <v>54000</v>
      </c>
      <c r="T34" s="14">
        <v>8198.4</v>
      </c>
      <c r="U34" s="14">
        <v>17263.69</v>
      </c>
      <c r="V34" s="14">
        <f>AM34*7.5*0.16*1.1</f>
        <v>150796.8</v>
      </c>
      <c r="W34" s="14">
        <v>360</v>
      </c>
      <c r="X34" s="14">
        <v>680</v>
      </c>
      <c r="Y34" s="14">
        <f t="shared" si="14"/>
        <v>1484</v>
      </c>
      <c r="Z34" s="14">
        <v>4000</v>
      </c>
      <c r="AA34" s="14">
        <v>10500</v>
      </c>
      <c r="AB34" s="14">
        <v>960</v>
      </c>
      <c r="AC34" s="14">
        <v>40</v>
      </c>
      <c r="AD34" s="14">
        <f>450*12</f>
        <v>5400</v>
      </c>
      <c r="AE34" s="14">
        <f t="shared" si="16"/>
        <v>1200</v>
      </c>
      <c r="AF34" s="14">
        <f t="shared" si="8"/>
        <v>287945.37</v>
      </c>
      <c r="AG34" s="14">
        <f>(G34-1)*AK34*12*通江农村客运车辆成本信息核定表!$G$8</f>
        <v>5544</v>
      </c>
      <c r="AH34" s="100" t="s">
        <v>383</v>
      </c>
      <c r="AI34" s="14">
        <v>170</v>
      </c>
      <c r="AJ34" s="14">
        <v>58</v>
      </c>
      <c r="AK34" s="14">
        <f>28*2*1</f>
        <v>56</v>
      </c>
      <c r="AL34" s="14">
        <v>28</v>
      </c>
      <c r="AM34" s="14">
        <f t="shared" si="6"/>
        <v>114240</v>
      </c>
      <c r="AN34" s="14">
        <v>1645</v>
      </c>
      <c r="AO34" s="14">
        <v>7200</v>
      </c>
      <c r="AP34" s="14">
        <f t="shared" si="7"/>
        <v>321552</v>
      </c>
    </row>
    <row r="35" s="86" customFormat="1" ht="24.95" customHeight="1" spans="1:42">
      <c r="A35" s="99">
        <v>31</v>
      </c>
      <c r="B35" s="99" t="s">
        <v>384</v>
      </c>
      <c r="C35" s="100" t="s">
        <v>347</v>
      </c>
      <c r="D35" s="103" t="s">
        <v>385</v>
      </c>
      <c r="E35" s="103" t="s">
        <v>386</v>
      </c>
      <c r="F35" s="104" t="s">
        <v>387</v>
      </c>
      <c r="G35" s="14">
        <v>9</v>
      </c>
      <c r="H35" s="102">
        <v>44113</v>
      </c>
      <c r="I35" s="100" t="s">
        <v>388</v>
      </c>
      <c r="J35" s="114">
        <v>108</v>
      </c>
      <c r="K35" s="114">
        <v>45</v>
      </c>
      <c r="L35" s="114">
        <v>580</v>
      </c>
      <c r="M35" s="114">
        <v>45</v>
      </c>
      <c r="N35" s="99">
        <v>7</v>
      </c>
      <c r="O35" s="14">
        <v>135000</v>
      </c>
      <c r="P35" s="14">
        <v>11946.9</v>
      </c>
      <c r="Q35" s="14">
        <f t="shared" si="9"/>
        <v>20362.64</v>
      </c>
      <c r="R35" s="14">
        <f t="shared" si="10"/>
        <v>6960</v>
      </c>
      <c r="S35" s="14">
        <f t="shared" si="2"/>
        <v>54000</v>
      </c>
      <c r="T35" s="14">
        <v>8198.4</v>
      </c>
      <c r="U35" s="14">
        <v>10876.83</v>
      </c>
      <c r="V35" s="14">
        <f>AM35*0.12*7.5*1.1</f>
        <v>71850.24</v>
      </c>
      <c r="W35" s="14">
        <v>360</v>
      </c>
      <c r="X35" s="14">
        <v>680</v>
      </c>
      <c r="Y35" s="14">
        <f t="shared" si="14"/>
        <v>1484</v>
      </c>
      <c r="Z35" s="14">
        <v>3210</v>
      </c>
      <c r="AA35" s="14">
        <v>8000</v>
      </c>
      <c r="AB35" s="14">
        <v>960</v>
      </c>
      <c r="AC35" s="14">
        <v>40</v>
      </c>
      <c r="AD35" s="14">
        <f>360*12</f>
        <v>4320</v>
      </c>
      <c r="AE35" s="14">
        <f t="shared" si="16"/>
        <v>1200</v>
      </c>
      <c r="AF35" s="14">
        <f t="shared" si="8"/>
        <v>192502.11</v>
      </c>
      <c r="AG35" s="14">
        <f>(G35-1)*AK35*12*通江农村客运车辆成本信息核定表!$G$8</f>
        <v>2956.8</v>
      </c>
      <c r="AH35" s="100" t="s">
        <v>388</v>
      </c>
      <c r="AI35" s="14">
        <v>108</v>
      </c>
      <c r="AJ35" s="14">
        <v>45</v>
      </c>
      <c r="AK35" s="14">
        <f t="shared" ref="AK35:AK44" si="18">28*2*1</f>
        <v>56</v>
      </c>
      <c r="AL35" s="14">
        <v>28</v>
      </c>
      <c r="AM35" s="14">
        <f t="shared" si="6"/>
        <v>72576</v>
      </c>
      <c r="AN35" s="14">
        <v>1645</v>
      </c>
      <c r="AO35" s="14">
        <v>7200</v>
      </c>
      <c r="AP35" s="14">
        <f t="shared" si="7"/>
        <v>133056</v>
      </c>
    </row>
    <row r="36" s="86" customFormat="1" ht="24.95" customHeight="1" spans="1:42">
      <c r="A36" s="99">
        <v>32</v>
      </c>
      <c r="B36" s="99" t="s">
        <v>389</v>
      </c>
      <c r="C36" s="100" t="s">
        <v>347</v>
      </c>
      <c r="D36" s="103" t="s">
        <v>390</v>
      </c>
      <c r="E36" s="103" t="s">
        <v>391</v>
      </c>
      <c r="F36" s="104" t="s">
        <v>392</v>
      </c>
      <c r="G36" s="14">
        <v>14</v>
      </c>
      <c r="H36" s="102">
        <v>44552</v>
      </c>
      <c r="I36" s="100" t="s">
        <v>393</v>
      </c>
      <c r="J36" s="114">
        <v>208</v>
      </c>
      <c r="K36" s="114">
        <v>100</v>
      </c>
      <c r="L36" s="114">
        <v>700</v>
      </c>
      <c r="M36" s="114">
        <v>100</v>
      </c>
      <c r="N36" s="99">
        <v>7</v>
      </c>
      <c r="O36" s="14">
        <v>60000</v>
      </c>
      <c r="P36" s="14">
        <v>5307.74</v>
      </c>
      <c r="Q36" s="14">
        <f t="shared" si="9"/>
        <v>9049.79</v>
      </c>
      <c r="R36" s="14">
        <f t="shared" si="10"/>
        <v>8400</v>
      </c>
      <c r="S36" s="14">
        <f t="shared" si="2"/>
        <v>54000</v>
      </c>
      <c r="T36" s="14">
        <v>8198.4</v>
      </c>
      <c r="U36" s="14">
        <v>17383.14</v>
      </c>
      <c r="V36" s="14">
        <f>AM36*7.5*0.14*1.1</f>
        <v>144144</v>
      </c>
      <c r="W36" s="14">
        <v>360</v>
      </c>
      <c r="X36" s="14">
        <v>680</v>
      </c>
      <c r="Y36" s="14">
        <f t="shared" ref="Y36:Y44" si="19">371*4</f>
        <v>1484</v>
      </c>
      <c r="Z36" s="14">
        <v>3500</v>
      </c>
      <c r="AA36" s="14">
        <v>8500</v>
      </c>
      <c r="AB36" s="14">
        <v>960</v>
      </c>
      <c r="AC36" s="14">
        <v>40</v>
      </c>
      <c r="AD36" s="14">
        <f>450*12</f>
        <v>5400</v>
      </c>
      <c r="AE36" s="14">
        <f t="shared" ref="AE36:AE44" si="20">100*12</f>
        <v>1200</v>
      </c>
      <c r="AF36" s="14">
        <f t="shared" si="8"/>
        <v>263299.33</v>
      </c>
      <c r="AG36" s="14">
        <f>(G36-1)*AK36*12*通江农村客运车辆成本信息核定表!$G$8</f>
        <v>4290</v>
      </c>
      <c r="AH36" s="100" t="s">
        <v>393</v>
      </c>
      <c r="AI36" s="14">
        <v>208</v>
      </c>
      <c r="AJ36" s="14">
        <v>100</v>
      </c>
      <c r="AK36" s="14">
        <f>28*2*1-6</f>
        <v>50</v>
      </c>
      <c r="AL36" s="14">
        <v>28</v>
      </c>
      <c r="AM36" s="14">
        <f t="shared" si="6"/>
        <v>124800</v>
      </c>
      <c r="AN36" s="14">
        <v>1645</v>
      </c>
      <c r="AO36" s="14">
        <v>7200</v>
      </c>
      <c r="AP36" s="14">
        <f t="shared" si="7"/>
        <v>429000</v>
      </c>
    </row>
    <row r="37" s="86" customFormat="1" ht="24.95" customHeight="1" spans="1:42">
      <c r="A37" s="99">
        <v>33</v>
      </c>
      <c r="B37" s="99" t="s">
        <v>394</v>
      </c>
      <c r="C37" s="100" t="s">
        <v>347</v>
      </c>
      <c r="D37" s="103" t="s">
        <v>395</v>
      </c>
      <c r="E37" s="103" t="s">
        <v>396</v>
      </c>
      <c r="F37" s="104" t="s">
        <v>397</v>
      </c>
      <c r="G37" s="14">
        <v>14</v>
      </c>
      <c r="H37" s="102">
        <v>44183</v>
      </c>
      <c r="I37" s="100" t="s">
        <v>398</v>
      </c>
      <c r="J37" s="114">
        <v>80</v>
      </c>
      <c r="K37" s="114">
        <v>30</v>
      </c>
      <c r="L37" s="114">
        <v>700</v>
      </c>
      <c r="M37" s="114">
        <v>30</v>
      </c>
      <c r="N37" s="99">
        <v>7</v>
      </c>
      <c r="O37" s="14">
        <v>130700</v>
      </c>
      <c r="P37" s="14">
        <v>11566.37</v>
      </c>
      <c r="Q37" s="14">
        <f t="shared" si="9"/>
        <v>19714.05</v>
      </c>
      <c r="R37" s="14">
        <f t="shared" si="10"/>
        <v>8400</v>
      </c>
      <c r="S37" s="14">
        <f t="shared" si="2"/>
        <v>54000</v>
      </c>
      <c r="T37" s="14">
        <v>8198.4</v>
      </c>
      <c r="U37" s="14">
        <v>17383.14</v>
      </c>
      <c r="V37" s="14">
        <f>AM37*7.5*0.14*1.1</f>
        <v>62092.8</v>
      </c>
      <c r="W37" s="14">
        <v>360</v>
      </c>
      <c r="X37" s="14">
        <v>680</v>
      </c>
      <c r="Y37" s="14">
        <f t="shared" si="19"/>
        <v>1484</v>
      </c>
      <c r="Z37" s="14">
        <v>3500</v>
      </c>
      <c r="AA37" s="14">
        <v>8500</v>
      </c>
      <c r="AB37" s="14">
        <v>960</v>
      </c>
      <c r="AC37" s="14">
        <v>40</v>
      </c>
      <c r="AD37" s="14">
        <f>450*12</f>
        <v>5400</v>
      </c>
      <c r="AE37" s="14">
        <f t="shared" si="20"/>
        <v>1200</v>
      </c>
      <c r="AF37" s="14">
        <f t="shared" si="8"/>
        <v>191912.39</v>
      </c>
      <c r="AG37" s="14">
        <f>(G37-1)*AK37*12*通江农村客运车辆成本信息核定表!$G$8</f>
        <v>4804.8</v>
      </c>
      <c r="AH37" s="100" t="s">
        <v>398</v>
      </c>
      <c r="AI37" s="14">
        <v>80</v>
      </c>
      <c r="AJ37" s="14">
        <v>30</v>
      </c>
      <c r="AK37" s="14">
        <f t="shared" si="18"/>
        <v>56</v>
      </c>
      <c r="AL37" s="14">
        <v>28</v>
      </c>
      <c r="AM37" s="14">
        <f t="shared" si="6"/>
        <v>53760</v>
      </c>
      <c r="AN37" s="14">
        <v>1645</v>
      </c>
      <c r="AO37" s="14">
        <v>7200</v>
      </c>
      <c r="AP37" s="14">
        <f t="shared" si="7"/>
        <v>144144</v>
      </c>
    </row>
    <row r="38" s="86" customFormat="1" ht="24.95" customHeight="1" spans="1:42">
      <c r="A38" s="99">
        <v>34</v>
      </c>
      <c r="B38" s="99" t="s">
        <v>399</v>
      </c>
      <c r="C38" s="100" t="s">
        <v>347</v>
      </c>
      <c r="D38" s="103" t="s">
        <v>400</v>
      </c>
      <c r="E38" s="103" t="s">
        <v>401</v>
      </c>
      <c r="F38" s="104" t="s">
        <v>402</v>
      </c>
      <c r="G38" s="14">
        <v>9</v>
      </c>
      <c r="H38" s="102">
        <v>43230</v>
      </c>
      <c r="I38" s="100" t="s">
        <v>403</v>
      </c>
      <c r="J38" s="114">
        <v>65</v>
      </c>
      <c r="K38" s="114">
        <v>25</v>
      </c>
      <c r="L38" s="114">
        <v>580</v>
      </c>
      <c r="M38" s="114">
        <v>25</v>
      </c>
      <c r="N38" s="99">
        <v>7</v>
      </c>
      <c r="O38" s="14">
        <v>74900</v>
      </c>
      <c r="P38" s="14">
        <v>6401.71</v>
      </c>
      <c r="Q38" s="14">
        <f t="shared" si="9"/>
        <v>11266.09</v>
      </c>
      <c r="R38" s="14">
        <f t="shared" si="10"/>
        <v>6960</v>
      </c>
      <c r="S38" s="14">
        <f t="shared" si="2"/>
        <v>54000</v>
      </c>
      <c r="T38" s="14">
        <v>8198.4</v>
      </c>
      <c r="U38" s="14">
        <v>10876.83</v>
      </c>
      <c r="V38" s="14">
        <f>AM38*0.12*7.5*1.1</f>
        <v>43243.2</v>
      </c>
      <c r="W38" s="14">
        <v>360</v>
      </c>
      <c r="X38" s="14">
        <v>680</v>
      </c>
      <c r="Y38" s="14">
        <f t="shared" si="19"/>
        <v>1484</v>
      </c>
      <c r="Z38" s="14">
        <v>3210</v>
      </c>
      <c r="AA38" s="14">
        <v>8000</v>
      </c>
      <c r="AB38" s="14">
        <v>960</v>
      </c>
      <c r="AC38" s="14">
        <v>40</v>
      </c>
      <c r="AD38" s="14">
        <f>360*12</f>
        <v>4320</v>
      </c>
      <c r="AE38" s="14">
        <f t="shared" si="20"/>
        <v>1200</v>
      </c>
      <c r="AF38" s="14">
        <f t="shared" si="8"/>
        <v>154798.52</v>
      </c>
      <c r="AG38" s="14">
        <f>(G38-1)*AK38*12*通江农村客运车辆成本信息核定表!$G$8</f>
        <v>2956.8</v>
      </c>
      <c r="AH38" s="100" t="s">
        <v>403</v>
      </c>
      <c r="AI38" s="14">
        <v>65</v>
      </c>
      <c r="AJ38" s="14">
        <v>25</v>
      </c>
      <c r="AK38" s="14">
        <f t="shared" si="18"/>
        <v>56</v>
      </c>
      <c r="AL38" s="14">
        <v>28</v>
      </c>
      <c r="AM38" s="14">
        <f t="shared" si="6"/>
        <v>43680</v>
      </c>
      <c r="AN38" s="14">
        <v>1645</v>
      </c>
      <c r="AO38" s="14">
        <v>7200</v>
      </c>
      <c r="AP38" s="14">
        <f t="shared" si="7"/>
        <v>73920</v>
      </c>
    </row>
    <row r="39" s="86" customFormat="1" ht="24.95" customHeight="1" spans="1:42">
      <c r="A39" s="99">
        <v>35</v>
      </c>
      <c r="B39" s="99" t="s">
        <v>404</v>
      </c>
      <c r="C39" s="100" t="s">
        <v>347</v>
      </c>
      <c r="D39" s="103" t="s">
        <v>405</v>
      </c>
      <c r="E39" s="103" t="s">
        <v>406</v>
      </c>
      <c r="F39" s="104" t="s">
        <v>407</v>
      </c>
      <c r="G39" s="14">
        <v>9</v>
      </c>
      <c r="H39" s="102">
        <v>44371</v>
      </c>
      <c r="I39" s="100" t="s">
        <v>408</v>
      </c>
      <c r="J39" s="114">
        <v>85</v>
      </c>
      <c r="K39" s="114">
        <v>33</v>
      </c>
      <c r="L39" s="114">
        <v>580</v>
      </c>
      <c r="M39" s="114">
        <v>33</v>
      </c>
      <c r="N39" s="99">
        <v>7</v>
      </c>
      <c r="O39" s="14">
        <v>84000</v>
      </c>
      <c r="P39" s="14">
        <v>7433.63</v>
      </c>
      <c r="Q39" s="14">
        <f t="shared" si="9"/>
        <v>12670.09</v>
      </c>
      <c r="R39" s="14">
        <f t="shared" si="10"/>
        <v>6960</v>
      </c>
      <c r="S39" s="14">
        <f t="shared" si="2"/>
        <v>54000</v>
      </c>
      <c r="T39" s="14">
        <v>8198.4</v>
      </c>
      <c r="U39" s="14">
        <v>10876.83</v>
      </c>
      <c r="V39" s="14">
        <f>AM39*0.12*7.5*1.1</f>
        <v>56548.8</v>
      </c>
      <c r="W39" s="14">
        <v>360</v>
      </c>
      <c r="X39" s="14">
        <v>680</v>
      </c>
      <c r="Y39" s="14">
        <f t="shared" si="19"/>
        <v>1484</v>
      </c>
      <c r="Z39" s="14">
        <v>3210</v>
      </c>
      <c r="AA39" s="14">
        <v>8000</v>
      </c>
      <c r="AB39" s="14">
        <v>960</v>
      </c>
      <c r="AC39" s="14">
        <v>40</v>
      </c>
      <c r="AD39" s="14">
        <f>360*12</f>
        <v>4320</v>
      </c>
      <c r="AE39" s="14">
        <f t="shared" si="20"/>
        <v>1200</v>
      </c>
      <c r="AF39" s="14">
        <f t="shared" si="8"/>
        <v>169508.12</v>
      </c>
      <c r="AG39" s="14">
        <f>(G39-1)*AK39*12*通江农村客运车辆成本信息核定表!$G$8</f>
        <v>2956.8</v>
      </c>
      <c r="AH39" s="100" t="s">
        <v>408</v>
      </c>
      <c r="AI39" s="14">
        <v>85</v>
      </c>
      <c r="AJ39" s="14">
        <v>33</v>
      </c>
      <c r="AK39" s="14">
        <f t="shared" si="18"/>
        <v>56</v>
      </c>
      <c r="AL39" s="14">
        <v>28</v>
      </c>
      <c r="AM39" s="14">
        <f t="shared" si="6"/>
        <v>57120</v>
      </c>
      <c r="AN39" s="14">
        <v>1645</v>
      </c>
      <c r="AO39" s="14">
        <v>7200</v>
      </c>
      <c r="AP39" s="14">
        <f t="shared" si="7"/>
        <v>97574.4</v>
      </c>
    </row>
    <row r="40" s="86" customFormat="1" ht="35.1" customHeight="1" spans="1:42">
      <c r="A40" s="99">
        <v>36</v>
      </c>
      <c r="B40" s="99" t="s">
        <v>409</v>
      </c>
      <c r="C40" s="100" t="s">
        <v>347</v>
      </c>
      <c r="D40" s="103" t="s">
        <v>410</v>
      </c>
      <c r="E40" s="103" t="s">
        <v>411</v>
      </c>
      <c r="F40" s="104" t="s">
        <v>412</v>
      </c>
      <c r="G40" s="14">
        <v>9</v>
      </c>
      <c r="H40" s="102">
        <v>44371</v>
      </c>
      <c r="I40" s="100" t="s">
        <v>413</v>
      </c>
      <c r="J40" s="114">
        <v>82</v>
      </c>
      <c r="K40" s="114">
        <v>31</v>
      </c>
      <c r="L40" s="114">
        <v>580</v>
      </c>
      <c r="M40" s="114">
        <v>31</v>
      </c>
      <c r="N40" s="99">
        <v>7</v>
      </c>
      <c r="O40" s="14">
        <v>84000</v>
      </c>
      <c r="P40" s="14">
        <v>7433.63</v>
      </c>
      <c r="Q40" s="14">
        <f t="shared" si="9"/>
        <v>12670.09</v>
      </c>
      <c r="R40" s="14">
        <f t="shared" si="10"/>
        <v>6960</v>
      </c>
      <c r="S40" s="14">
        <f t="shared" si="2"/>
        <v>54000</v>
      </c>
      <c r="T40" s="14">
        <v>8198.4</v>
      </c>
      <c r="U40" s="14">
        <v>10876.83</v>
      </c>
      <c r="V40" s="14">
        <f>AM40*0.12*7.5*1.1</f>
        <v>54552.96</v>
      </c>
      <c r="W40" s="14">
        <v>360</v>
      </c>
      <c r="X40" s="14">
        <v>680</v>
      </c>
      <c r="Y40" s="14">
        <f t="shared" si="19"/>
        <v>1484</v>
      </c>
      <c r="Z40" s="14">
        <v>3210</v>
      </c>
      <c r="AA40" s="14">
        <v>8000</v>
      </c>
      <c r="AB40" s="14">
        <v>960</v>
      </c>
      <c r="AC40" s="14">
        <v>40</v>
      </c>
      <c r="AD40" s="14">
        <f>360*12</f>
        <v>4320</v>
      </c>
      <c r="AE40" s="14">
        <f t="shared" si="20"/>
        <v>1200</v>
      </c>
      <c r="AF40" s="14">
        <f t="shared" si="8"/>
        <v>167512.28</v>
      </c>
      <c r="AG40" s="14">
        <f>(G40-1)*AK40*12*通江农村客运车辆成本信息核定表!$G$8</f>
        <v>2956.8</v>
      </c>
      <c r="AH40" s="100" t="s">
        <v>413</v>
      </c>
      <c r="AI40" s="14">
        <v>82</v>
      </c>
      <c r="AJ40" s="14">
        <v>31</v>
      </c>
      <c r="AK40" s="14">
        <f t="shared" si="18"/>
        <v>56</v>
      </c>
      <c r="AL40" s="14">
        <v>28</v>
      </c>
      <c r="AM40" s="14">
        <f t="shared" si="6"/>
        <v>55104</v>
      </c>
      <c r="AN40" s="14">
        <v>1645</v>
      </c>
      <c r="AO40" s="14">
        <v>7200</v>
      </c>
      <c r="AP40" s="14">
        <f t="shared" si="7"/>
        <v>91660.8</v>
      </c>
    </row>
    <row r="41" s="86" customFormat="1" ht="24.95" customHeight="1" spans="1:42">
      <c r="A41" s="99">
        <v>37</v>
      </c>
      <c r="B41" s="99" t="s">
        <v>414</v>
      </c>
      <c r="C41" s="100" t="s">
        <v>347</v>
      </c>
      <c r="D41" s="103" t="s">
        <v>415</v>
      </c>
      <c r="E41" s="103" t="s">
        <v>416</v>
      </c>
      <c r="F41" s="104" t="s">
        <v>417</v>
      </c>
      <c r="G41" s="14">
        <v>14</v>
      </c>
      <c r="H41" s="102">
        <v>44371</v>
      </c>
      <c r="I41" s="100" t="s">
        <v>418</v>
      </c>
      <c r="J41" s="114">
        <v>28</v>
      </c>
      <c r="K41" s="114">
        <v>12</v>
      </c>
      <c r="L41" s="114">
        <v>700</v>
      </c>
      <c r="M41" s="114">
        <v>12</v>
      </c>
      <c r="N41" s="99">
        <v>7</v>
      </c>
      <c r="O41" s="14">
        <v>80000</v>
      </c>
      <c r="P41" s="14">
        <v>7079.65</v>
      </c>
      <c r="Q41" s="14">
        <f t="shared" si="9"/>
        <v>12066.75</v>
      </c>
      <c r="R41" s="14">
        <f t="shared" si="10"/>
        <v>8400</v>
      </c>
      <c r="S41" s="14">
        <f t="shared" si="2"/>
        <v>54000</v>
      </c>
      <c r="T41" s="14">
        <v>8198.4</v>
      </c>
      <c r="U41" s="14">
        <v>17383.14</v>
      </c>
      <c r="V41" s="14">
        <f>AM41*7.5*0.14*1.1</f>
        <v>43464.96</v>
      </c>
      <c r="W41" s="14">
        <v>360</v>
      </c>
      <c r="X41" s="14">
        <v>680</v>
      </c>
      <c r="Y41" s="14">
        <f t="shared" si="19"/>
        <v>1484</v>
      </c>
      <c r="Z41" s="14">
        <v>3500</v>
      </c>
      <c r="AA41" s="14">
        <v>8500</v>
      </c>
      <c r="AB41" s="14">
        <v>960</v>
      </c>
      <c r="AC41" s="14">
        <v>40</v>
      </c>
      <c r="AD41" s="14">
        <f>450*12</f>
        <v>5400</v>
      </c>
      <c r="AE41" s="14">
        <f t="shared" si="20"/>
        <v>1200</v>
      </c>
      <c r="AF41" s="14">
        <f t="shared" si="8"/>
        <v>165637.25</v>
      </c>
      <c r="AG41" s="14">
        <f>(G41-1)*AK41*12*通江农村客运车辆成本信息核定表!$G$8</f>
        <v>9609.6</v>
      </c>
      <c r="AH41" s="100" t="s">
        <v>418</v>
      </c>
      <c r="AI41" s="14">
        <v>28</v>
      </c>
      <c r="AJ41" s="14">
        <v>12</v>
      </c>
      <c r="AK41" s="14">
        <f>28*2*2</f>
        <v>112</v>
      </c>
      <c r="AL41" s="14">
        <v>28</v>
      </c>
      <c r="AM41" s="14">
        <f t="shared" si="6"/>
        <v>37632</v>
      </c>
      <c r="AN41" s="14">
        <v>1645</v>
      </c>
      <c r="AO41" s="14">
        <v>7200</v>
      </c>
      <c r="AP41" s="14">
        <f t="shared" si="7"/>
        <v>115315.2</v>
      </c>
    </row>
    <row r="42" s="86" customFormat="1" ht="24.95" customHeight="1" spans="1:42">
      <c r="A42" s="99">
        <v>38</v>
      </c>
      <c r="B42" s="99" t="s">
        <v>419</v>
      </c>
      <c r="C42" s="100" t="s">
        <v>336</v>
      </c>
      <c r="D42" s="103" t="s">
        <v>420</v>
      </c>
      <c r="E42" s="103">
        <v>42108</v>
      </c>
      <c r="F42" s="104" t="s">
        <v>421</v>
      </c>
      <c r="G42" s="14">
        <v>11</v>
      </c>
      <c r="H42" s="102">
        <v>42732</v>
      </c>
      <c r="I42" s="100" t="s">
        <v>422</v>
      </c>
      <c r="J42" s="114">
        <v>32</v>
      </c>
      <c r="K42" s="114">
        <v>15</v>
      </c>
      <c r="L42" s="114">
        <v>620</v>
      </c>
      <c r="M42" s="114">
        <v>15</v>
      </c>
      <c r="N42" s="99">
        <v>7</v>
      </c>
      <c r="O42" s="14">
        <v>64709.4</v>
      </c>
      <c r="P42" s="14">
        <v>5726.5</v>
      </c>
      <c r="Q42" s="14">
        <f t="shared" si="9"/>
        <v>9760.4</v>
      </c>
      <c r="R42" s="14">
        <f t="shared" si="10"/>
        <v>7440</v>
      </c>
      <c r="S42" s="14">
        <f t="shared" si="2"/>
        <v>54000</v>
      </c>
      <c r="T42" s="14">
        <v>8198.4</v>
      </c>
      <c r="U42" s="14">
        <v>14296.82</v>
      </c>
      <c r="V42" s="14">
        <f>AM42*7.5*0.14*1.1</f>
        <v>49674.24</v>
      </c>
      <c r="W42" s="14">
        <v>360</v>
      </c>
      <c r="X42" s="14">
        <v>680</v>
      </c>
      <c r="Y42" s="14">
        <f t="shared" si="19"/>
        <v>1484</v>
      </c>
      <c r="Z42" s="14">
        <v>3210</v>
      </c>
      <c r="AA42" s="14">
        <v>8200</v>
      </c>
      <c r="AB42" s="14">
        <v>960</v>
      </c>
      <c r="AC42" s="14">
        <v>40</v>
      </c>
      <c r="AD42" s="14">
        <f>400*12</f>
        <v>4800</v>
      </c>
      <c r="AE42" s="14">
        <f t="shared" si="20"/>
        <v>1200</v>
      </c>
      <c r="AF42" s="14">
        <f t="shared" si="8"/>
        <v>164303.86</v>
      </c>
      <c r="AG42" s="14">
        <f>(G42-1)*AK42*12*通江农村客运车辆成本信息核定表!$G$8</f>
        <v>7392</v>
      </c>
      <c r="AH42" s="100" t="s">
        <v>422</v>
      </c>
      <c r="AI42" s="14">
        <v>32</v>
      </c>
      <c r="AJ42" s="14">
        <v>15</v>
      </c>
      <c r="AK42" s="14">
        <f>28*2*2</f>
        <v>112</v>
      </c>
      <c r="AL42" s="14">
        <v>28</v>
      </c>
      <c r="AM42" s="14">
        <f t="shared" si="6"/>
        <v>43008</v>
      </c>
      <c r="AN42" s="14">
        <v>1645</v>
      </c>
      <c r="AO42" s="14">
        <v>7200</v>
      </c>
      <c r="AP42" s="14">
        <f t="shared" si="7"/>
        <v>110880</v>
      </c>
    </row>
    <row r="43" s="86" customFormat="1" ht="24.95" customHeight="1" spans="1:42">
      <c r="A43" s="99">
        <v>39</v>
      </c>
      <c r="B43" s="99" t="s">
        <v>423</v>
      </c>
      <c r="C43" s="100" t="s">
        <v>347</v>
      </c>
      <c r="D43" s="103" t="s">
        <v>424</v>
      </c>
      <c r="E43" s="103">
        <v>124620</v>
      </c>
      <c r="F43" s="104" t="s">
        <v>425</v>
      </c>
      <c r="G43" s="14">
        <v>10</v>
      </c>
      <c r="H43" s="102">
        <v>42898</v>
      </c>
      <c r="I43" s="100" t="s">
        <v>426</v>
      </c>
      <c r="J43" s="114">
        <v>36</v>
      </c>
      <c r="K43" s="114">
        <v>17</v>
      </c>
      <c r="L43" s="114">
        <v>580</v>
      </c>
      <c r="M43" s="114">
        <v>17</v>
      </c>
      <c r="N43" s="99">
        <v>7</v>
      </c>
      <c r="O43" s="14">
        <v>69000</v>
      </c>
      <c r="P43" s="14">
        <v>5897.44</v>
      </c>
      <c r="Q43" s="14">
        <f t="shared" si="9"/>
        <v>10378.65</v>
      </c>
      <c r="R43" s="14">
        <f t="shared" si="10"/>
        <v>6960</v>
      </c>
      <c r="S43" s="14">
        <f t="shared" si="2"/>
        <v>54000</v>
      </c>
      <c r="T43" s="14">
        <v>8198.4</v>
      </c>
      <c r="U43" s="14">
        <v>89537.1</v>
      </c>
      <c r="V43" s="14">
        <f>AM43*7.5*0.14*1.1</f>
        <v>55883.52</v>
      </c>
      <c r="W43" s="14">
        <v>360</v>
      </c>
      <c r="X43" s="14">
        <v>680</v>
      </c>
      <c r="Y43" s="14">
        <f t="shared" si="19"/>
        <v>1484</v>
      </c>
      <c r="Z43" s="14">
        <v>3210</v>
      </c>
      <c r="AA43" s="14">
        <v>8200</v>
      </c>
      <c r="AB43" s="14">
        <v>960</v>
      </c>
      <c r="AC43" s="14">
        <v>40</v>
      </c>
      <c r="AD43" s="14">
        <f>400*12</f>
        <v>4800</v>
      </c>
      <c r="AE43" s="14">
        <f t="shared" si="20"/>
        <v>1200</v>
      </c>
      <c r="AF43" s="14">
        <f t="shared" si="8"/>
        <v>245891.67</v>
      </c>
      <c r="AG43" s="14">
        <f>(G43-1)*AK43*12*通江农村客运车辆成本信息核定表!$G$8</f>
        <v>6652.8</v>
      </c>
      <c r="AH43" s="100" t="s">
        <v>426</v>
      </c>
      <c r="AI43" s="14">
        <v>36</v>
      </c>
      <c r="AJ43" s="14">
        <v>17</v>
      </c>
      <c r="AK43" s="14">
        <f>28*2*2</f>
        <v>112</v>
      </c>
      <c r="AL43" s="14">
        <v>28</v>
      </c>
      <c r="AM43" s="14">
        <f t="shared" si="6"/>
        <v>48384</v>
      </c>
      <c r="AN43" s="14">
        <v>1645</v>
      </c>
      <c r="AO43" s="14">
        <v>7200</v>
      </c>
      <c r="AP43" s="14">
        <f t="shared" si="7"/>
        <v>113097.6</v>
      </c>
    </row>
    <row r="44" s="86" customFormat="1" ht="24.95" customHeight="1" spans="1:42">
      <c r="A44" s="99">
        <v>40</v>
      </c>
      <c r="B44" s="99" t="s">
        <v>427</v>
      </c>
      <c r="C44" s="100" t="s">
        <v>347</v>
      </c>
      <c r="D44" s="103" t="s">
        <v>428</v>
      </c>
      <c r="E44" s="103" t="s">
        <v>429</v>
      </c>
      <c r="F44" s="104" t="s">
        <v>430</v>
      </c>
      <c r="G44" s="14">
        <v>9</v>
      </c>
      <c r="H44" s="102">
        <v>43847</v>
      </c>
      <c r="I44" s="100" t="s">
        <v>431</v>
      </c>
      <c r="J44" s="114">
        <v>98</v>
      </c>
      <c r="K44" s="114">
        <v>35</v>
      </c>
      <c r="L44" s="114">
        <v>580</v>
      </c>
      <c r="M44" s="114">
        <v>35</v>
      </c>
      <c r="N44" s="99">
        <v>7</v>
      </c>
      <c r="O44" s="14">
        <v>90000</v>
      </c>
      <c r="P44" s="14">
        <v>7964.6</v>
      </c>
      <c r="Q44" s="14">
        <f t="shared" si="9"/>
        <v>13575.09</v>
      </c>
      <c r="R44" s="14">
        <f t="shared" si="10"/>
        <v>6960</v>
      </c>
      <c r="S44" s="14">
        <f t="shared" si="2"/>
        <v>54000</v>
      </c>
      <c r="T44" s="14">
        <v>8198.4</v>
      </c>
      <c r="U44" s="14">
        <v>10876.83</v>
      </c>
      <c r="V44" s="14">
        <f>AM44*0.12*7.5*1.1</f>
        <v>65197.44</v>
      </c>
      <c r="W44" s="14">
        <v>360</v>
      </c>
      <c r="X44" s="14">
        <v>680</v>
      </c>
      <c r="Y44" s="14">
        <f t="shared" si="19"/>
        <v>1484</v>
      </c>
      <c r="Z44" s="14">
        <v>3210</v>
      </c>
      <c r="AA44" s="14">
        <v>8000</v>
      </c>
      <c r="AB44" s="14">
        <v>960</v>
      </c>
      <c r="AC44" s="14">
        <v>40</v>
      </c>
      <c r="AD44" s="14">
        <f>360*12</f>
        <v>4320</v>
      </c>
      <c r="AE44" s="14">
        <f t="shared" si="20"/>
        <v>1200</v>
      </c>
      <c r="AF44" s="14">
        <f t="shared" si="8"/>
        <v>179061.76</v>
      </c>
      <c r="AG44" s="14">
        <f>(G44-1)*AK44*12*通江农村客运车辆成本信息核定表!$G$8</f>
        <v>2956.8</v>
      </c>
      <c r="AH44" s="100" t="s">
        <v>431</v>
      </c>
      <c r="AI44" s="14">
        <v>98</v>
      </c>
      <c r="AJ44" s="14">
        <v>35</v>
      </c>
      <c r="AK44" s="14">
        <f t="shared" si="18"/>
        <v>56</v>
      </c>
      <c r="AL44" s="14">
        <v>28</v>
      </c>
      <c r="AM44" s="14">
        <f t="shared" si="6"/>
        <v>65856</v>
      </c>
      <c r="AN44" s="14">
        <v>1645</v>
      </c>
      <c r="AO44" s="14">
        <v>7200</v>
      </c>
      <c r="AP44" s="14">
        <f t="shared" si="7"/>
        <v>103488</v>
      </c>
    </row>
    <row r="45" s="87" customFormat="1" ht="24.95" customHeight="1" spans="1:42">
      <c r="A45" s="106" t="s">
        <v>216</v>
      </c>
      <c r="B45" s="107"/>
      <c r="C45" s="108"/>
      <c r="D45" s="109"/>
      <c r="E45" s="110"/>
      <c r="F45" s="110"/>
      <c r="G45" s="19">
        <f t="shared" ref="G45:N45" si="21">SUM(G5:G44)</f>
        <v>465</v>
      </c>
      <c r="H45" s="19"/>
      <c r="I45" s="19">
        <f t="shared" si="21"/>
        <v>0</v>
      </c>
      <c r="J45" s="19">
        <f t="shared" si="21"/>
        <v>2516</v>
      </c>
      <c r="K45" s="19">
        <f t="shared" si="21"/>
        <v>1029</v>
      </c>
      <c r="L45" s="19">
        <f t="shared" si="21"/>
        <v>24480</v>
      </c>
      <c r="M45" s="19">
        <f t="shared" si="21"/>
        <v>1029</v>
      </c>
      <c r="N45" s="19">
        <f t="shared" si="21"/>
        <v>280</v>
      </c>
      <c r="O45" s="19">
        <f t="shared" ref="O45:AG45" si="22">SUM(O5:O44)</f>
        <v>3750719.556</v>
      </c>
      <c r="P45" s="19">
        <f t="shared" si="22"/>
        <v>397958.46</v>
      </c>
      <c r="Q45" s="19">
        <f t="shared" si="22"/>
        <v>574888.2</v>
      </c>
      <c r="R45" s="19">
        <f t="shared" si="22"/>
        <v>293760</v>
      </c>
      <c r="S45" s="19">
        <f t="shared" si="22"/>
        <v>2160000</v>
      </c>
      <c r="T45" s="19">
        <f t="shared" si="22"/>
        <v>327936</v>
      </c>
      <c r="U45" s="19">
        <f t="shared" si="22"/>
        <v>613026.57</v>
      </c>
      <c r="V45" s="19">
        <f t="shared" si="22"/>
        <v>2538597.6</v>
      </c>
      <c r="W45" s="19">
        <f t="shared" si="22"/>
        <v>14400</v>
      </c>
      <c r="X45" s="19">
        <f t="shared" si="22"/>
        <v>27200</v>
      </c>
      <c r="Y45" s="19">
        <f t="shared" si="22"/>
        <v>59360</v>
      </c>
      <c r="Z45" s="19">
        <f t="shared" si="22"/>
        <v>137040</v>
      </c>
      <c r="AA45" s="19">
        <f t="shared" si="22"/>
        <v>345000</v>
      </c>
      <c r="AB45" s="19">
        <f t="shared" si="22"/>
        <v>38400</v>
      </c>
      <c r="AC45" s="19">
        <f t="shared" si="22"/>
        <v>1600</v>
      </c>
      <c r="AD45" s="19">
        <f t="shared" si="22"/>
        <v>196080</v>
      </c>
      <c r="AE45" s="19">
        <f t="shared" si="22"/>
        <v>48000</v>
      </c>
      <c r="AF45" s="19">
        <f t="shared" si="22"/>
        <v>7375288.37</v>
      </c>
      <c r="AG45" s="19">
        <f t="shared" si="22"/>
        <v>260792.4</v>
      </c>
      <c r="AH45" s="33" t="s">
        <v>216</v>
      </c>
      <c r="AI45" s="19">
        <f t="shared" ref="AI45:AP45" si="23">SUM(AI5:AI44)</f>
        <v>2516</v>
      </c>
      <c r="AJ45" s="19">
        <f t="shared" si="23"/>
        <v>1029</v>
      </c>
      <c r="AK45" s="19">
        <f t="shared" si="23"/>
        <v>3746</v>
      </c>
      <c r="AL45" s="19">
        <f t="shared" si="23"/>
        <v>1120</v>
      </c>
      <c r="AM45" s="19">
        <f t="shared" si="23"/>
        <v>2247648</v>
      </c>
      <c r="AN45" s="19">
        <f t="shared" si="23"/>
        <v>65800</v>
      </c>
      <c r="AO45" s="19">
        <f t="shared" si="23"/>
        <v>288000</v>
      </c>
      <c r="AP45" s="19">
        <f t="shared" si="23"/>
        <v>5596747.2</v>
      </c>
    </row>
    <row r="46" s="87" customFormat="1" ht="24.95" customHeight="1" spans="1:42">
      <c r="A46" s="18" t="s">
        <v>217</v>
      </c>
      <c r="B46" s="16"/>
      <c r="C46" s="108"/>
      <c r="D46" s="109"/>
      <c r="E46" s="110"/>
      <c r="F46" s="110"/>
      <c r="G46" s="19">
        <f t="shared" ref="G46:N46" si="24">ROUND(G45/$A$48,2)</f>
        <v>11.63</v>
      </c>
      <c r="H46" s="19"/>
      <c r="I46" s="19">
        <f t="shared" si="24"/>
        <v>0</v>
      </c>
      <c r="J46" s="19">
        <f t="shared" si="24"/>
        <v>62.9</v>
      </c>
      <c r="K46" s="19">
        <f t="shared" si="24"/>
        <v>25.73</v>
      </c>
      <c r="L46" s="19">
        <f t="shared" si="24"/>
        <v>612</v>
      </c>
      <c r="M46" s="19">
        <f t="shared" si="24"/>
        <v>25.73</v>
      </c>
      <c r="N46" s="19">
        <f t="shared" si="24"/>
        <v>7</v>
      </c>
      <c r="O46" s="19">
        <f t="shared" ref="O46:V46" si="25">ROUND(O45/$A$48,2)</f>
        <v>93767.99</v>
      </c>
      <c r="P46" s="19">
        <f t="shared" si="25"/>
        <v>9948.96</v>
      </c>
      <c r="Q46" s="19">
        <f t="shared" si="25"/>
        <v>14372.21</v>
      </c>
      <c r="R46" s="19">
        <f t="shared" si="25"/>
        <v>7344</v>
      </c>
      <c r="S46" s="19">
        <f t="shared" si="25"/>
        <v>54000</v>
      </c>
      <c r="T46" s="19">
        <f t="shared" si="25"/>
        <v>8198.4</v>
      </c>
      <c r="U46" s="19">
        <f t="shared" si="25"/>
        <v>15325.66</v>
      </c>
      <c r="V46" s="19">
        <f t="shared" si="25"/>
        <v>63464.94</v>
      </c>
      <c r="W46" s="19">
        <f>W45/40</f>
        <v>360</v>
      </c>
      <c r="X46" s="19">
        <f>ROUND(X45/$A$48,2)</f>
        <v>680</v>
      </c>
      <c r="Y46" s="19">
        <f>Y45/40</f>
        <v>1484</v>
      </c>
      <c r="Z46" s="19">
        <f t="shared" ref="Z46:AF46" si="26">ROUND(Z45/$A$48,2)</f>
        <v>3426</v>
      </c>
      <c r="AA46" s="19">
        <f t="shared" si="26"/>
        <v>8625</v>
      </c>
      <c r="AB46" s="19">
        <f t="shared" si="26"/>
        <v>960</v>
      </c>
      <c r="AC46" s="19">
        <f t="shared" si="26"/>
        <v>40</v>
      </c>
      <c r="AD46" s="19">
        <f t="shared" si="26"/>
        <v>4902</v>
      </c>
      <c r="AE46" s="19">
        <f t="shared" si="26"/>
        <v>1200</v>
      </c>
      <c r="AF46" s="19">
        <f t="shared" si="26"/>
        <v>184382.21</v>
      </c>
      <c r="AG46" s="19">
        <f>AG45/40</f>
        <v>6519.81</v>
      </c>
      <c r="AH46" s="33" t="s">
        <v>217</v>
      </c>
      <c r="AI46" s="19">
        <f t="shared" ref="AI46:AP46" si="27">ROUND(AI45/$A$48,2)</f>
        <v>62.9</v>
      </c>
      <c r="AJ46" s="19">
        <f t="shared" si="27"/>
        <v>25.73</v>
      </c>
      <c r="AK46" s="19">
        <f t="shared" si="27"/>
        <v>93.65</v>
      </c>
      <c r="AL46" s="19">
        <f t="shared" si="27"/>
        <v>28</v>
      </c>
      <c r="AM46" s="19">
        <f t="shared" si="27"/>
        <v>56191.2</v>
      </c>
      <c r="AN46" s="19">
        <f t="shared" si="27"/>
        <v>1645</v>
      </c>
      <c r="AO46" s="19">
        <f t="shared" si="27"/>
        <v>7200</v>
      </c>
      <c r="AP46" s="19">
        <f t="shared" si="27"/>
        <v>139918.68</v>
      </c>
    </row>
    <row r="48" spans="1:2">
      <c r="A48" s="88">
        <v>40</v>
      </c>
      <c r="B48" s="89">
        <v>12</v>
      </c>
    </row>
  </sheetData>
  <sheetProtection formatCells="0" insertHyperlinks="0" autoFilter="0"/>
  <autoFilter ref="A4:AV46">
    <extLst/>
  </autoFilter>
  <mergeCells count="5">
    <mergeCell ref="A2:Z2"/>
    <mergeCell ref="AA2:AP2"/>
    <mergeCell ref="X3:Z3"/>
    <mergeCell ref="A45:B45"/>
    <mergeCell ref="A46:B46"/>
  </mergeCells>
  <printOptions horizontalCentered="1"/>
  <pageMargins left="0.554861111111111" right="0.554861111111111" top="0.60625" bottom="0.409027777777778" header="0.5" footer="0.5"/>
  <pageSetup paperSize="9" scale="76" pageOrder="overThenDown" orientation="landscape" horizontalDpi="600"/>
  <headerFooter>
    <oddFooter>&amp;C第 &amp;P 页，共 &amp;N 页</oddFooter>
  </headerFooter>
  <rowBreaks count="2" manualBreakCount="2">
    <brk id="25" max="41" man="1"/>
    <brk id="46" max="41" man="1"/>
  </rowBreaks>
  <colBreaks count="1" manualBreakCount="1">
    <brk id="26" max="4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0"/>
  <sheetViews>
    <sheetView showZeros="0" view="pageBreakPreview" zoomScaleNormal="100" zoomScaleSheetLayoutView="100" workbookViewId="0">
      <pane xSplit="3" ySplit="4" topLeftCell="T11" activePane="bottomRight" state="frozen"/>
      <selection/>
      <selection pane="topRight"/>
      <selection pane="bottomLeft"/>
      <selection pane="bottomRight" activeCell="Y2" sqref="Y2:AP2"/>
    </sheetView>
  </sheetViews>
  <sheetFormatPr defaultColWidth="9" defaultRowHeight="14.25"/>
  <cols>
    <col min="1" max="1" width="4.63333333333333" style="88" customWidth="1"/>
    <col min="2" max="2" width="8.38333333333333" style="89" customWidth="1"/>
    <col min="3" max="3" width="12" style="89" customWidth="1"/>
    <col min="4" max="4" width="16.3833333333333" style="90" customWidth="1"/>
    <col min="5" max="5" width="9.88333333333333" style="88" customWidth="1"/>
    <col min="6" max="6" width="14.5" style="88" customWidth="1"/>
    <col min="7" max="7" width="5.38333333333333" style="88" customWidth="1"/>
    <col min="8" max="8" width="11.75" style="89" customWidth="1"/>
    <col min="9" max="9" width="18.3916666666667" style="91" customWidth="1"/>
    <col min="10" max="10" width="9.125" style="91" customWidth="1"/>
    <col min="11" max="11" width="8.25" style="91" customWidth="1"/>
    <col min="12" max="12" width="8.75" style="91" customWidth="1"/>
    <col min="13" max="13" width="8.38333333333333" style="89" customWidth="1"/>
    <col min="14" max="14" width="6.38333333333333" style="89" customWidth="1"/>
    <col min="15" max="16" width="7.63333333333333" style="92" customWidth="1"/>
    <col min="17" max="17" width="9.03333333333333" style="92" customWidth="1"/>
    <col min="18" max="18" width="7.63333333333333" style="92" customWidth="1"/>
    <col min="19" max="21" width="7.63333333333333" style="89" customWidth="1"/>
    <col min="22" max="22" width="8.125" style="89" customWidth="1"/>
    <col min="23" max="23" width="9.74166666666667" style="89" customWidth="1"/>
    <col min="24" max="24" width="10.675" style="89" customWidth="1"/>
    <col min="25" max="25" width="8.875" style="89" customWidth="1"/>
    <col min="26" max="26" width="9" style="89" customWidth="1"/>
    <col min="27" max="27" width="8.625" style="89" customWidth="1"/>
    <col min="28" max="28" width="8.875" style="89" customWidth="1"/>
    <col min="29" max="29" width="8.625" style="89" customWidth="1"/>
    <col min="30" max="30" width="7.63333333333333" style="89" customWidth="1"/>
    <col min="31" max="31" width="8.5" style="89" customWidth="1"/>
    <col min="32" max="32" width="9.75" style="89" customWidth="1"/>
    <col min="33" max="33" width="8.625" style="89" customWidth="1"/>
    <col min="34" max="34" width="12.375" style="89" customWidth="1"/>
    <col min="35" max="38" width="7.63333333333333" style="89" customWidth="1"/>
    <col min="39" max="39" width="9.75" style="89" customWidth="1"/>
    <col min="40" max="40" width="9" style="89" customWidth="1"/>
    <col min="41" max="41" width="9.375" style="89" customWidth="1"/>
    <col min="42" max="42" width="11.625" style="89" customWidth="1"/>
    <col min="43" max="16384" width="9" style="89"/>
  </cols>
  <sheetData>
    <row r="1" ht="13.5" spans="1:27">
      <c r="A1" s="93" t="s">
        <v>432</v>
      </c>
      <c r="AA1" s="119"/>
    </row>
    <row r="2" ht="21" customHeight="1" spans="1:42">
      <c r="A2" s="94" t="s">
        <v>219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120" t="s">
        <v>219</v>
      </c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="84" customFormat="1" ht="24.95" customHeight="1" spans="1:42">
      <c r="A3" s="95" t="s">
        <v>223</v>
      </c>
      <c r="D3" s="95"/>
      <c r="E3" s="96"/>
      <c r="F3" s="96"/>
      <c r="G3" s="96"/>
      <c r="I3" s="111"/>
      <c r="J3" s="111"/>
      <c r="K3" s="111"/>
      <c r="L3" s="111"/>
      <c r="O3" s="112"/>
      <c r="P3" s="112"/>
      <c r="Q3" s="112"/>
      <c r="R3" s="112"/>
      <c r="W3" s="116"/>
      <c r="X3" s="82" t="s">
        <v>113</v>
      </c>
      <c r="Y3" s="136"/>
      <c r="Z3" s="136"/>
      <c r="AA3" s="116"/>
      <c r="AF3" s="121"/>
      <c r="AG3" s="122"/>
      <c r="AH3" s="122"/>
      <c r="AI3" s="75"/>
      <c r="AJ3" s="75"/>
      <c r="AK3" s="75"/>
      <c r="AL3" s="75"/>
      <c r="AM3" s="75"/>
      <c r="AN3" s="75"/>
      <c r="AO3" s="75"/>
      <c r="AP3" s="82" t="s">
        <v>113</v>
      </c>
    </row>
    <row r="4" s="85" customFormat="1" ht="35.25" customHeight="1" spans="1:42">
      <c r="A4" s="97" t="s">
        <v>114</v>
      </c>
      <c r="B4" s="97" t="s">
        <v>224</v>
      </c>
      <c r="C4" s="97" t="s">
        <v>225</v>
      </c>
      <c r="D4" s="98" t="s">
        <v>226</v>
      </c>
      <c r="E4" s="98" t="s">
        <v>227</v>
      </c>
      <c r="F4" s="98" t="s">
        <v>228</v>
      </c>
      <c r="G4" s="97" t="s">
        <v>120</v>
      </c>
      <c r="H4" s="97" t="s">
        <v>229</v>
      </c>
      <c r="I4" s="98" t="s">
        <v>230</v>
      </c>
      <c r="J4" s="23" t="s">
        <v>124</v>
      </c>
      <c r="K4" s="130" t="s">
        <v>144</v>
      </c>
      <c r="L4" s="130" t="s">
        <v>123</v>
      </c>
      <c r="M4" s="97" t="s">
        <v>231</v>
      </c>
      <c r="N4" s="23" t="s">
        <v>125</v>
      </c>
      <c r="O4" s="131" t="s">
        <v>126</v>
      </c>
      <c r="P4" s="131" t="s">
        <v>127</v>
      </c>
      <c r="Q4" s="22" t="s">
        <v>128</v>
      </c>
      <c r="R4" s="23" t="s">
        <v>129</v>
      </c>
      <c r="S4" s="134" t="s">
        <v>232</v>
      </c>
      <c r="T4" s="135" t="s">
        <v>131</v>
      </c>
      <c r="U4" s="131" t="s">
        <v>132</v>
      </c>
      <c r="V4" s="134" t="s">
        <v>133</v>
      </c>
      <c r="W4" s="131" t="s">
        <v>134</v>
      </c>
      <c r="X4" s="131" t="s">
        <v>135</v>
      </c>
      <c r="Y4" s="131" t="s">
        <v>136</v>
      </c>
      <c r="Z4" s="135" t="s">
        <v>137</v>
      </c>
      <c r="AA4" s="135" t="s">
        <v>138</v>
      </c>
      <c r="AB4" s="29" t="s">
        <v>139</v>
      </c>
      <c r="AC4" s="29" t="s">
        <v>140</v>
      </c>
      <c r="AD4" s="29" t="s">
        <v>233</v>
      </c>
      <c r="AE4" s="29" t="s">
        <v>234</v>
      </c>
      <c r="AF4" s="131" t="s">
        <v>141</v>
      </c>
      <c r="AG4" s="131" t="s">
        <v>142</v>
      </c>
      <c r="AH4" s="9" t="s">
        <v>122</v>
      </c>
      <c r="AI4" s="24" t="s">
        <v>143</v>
      </c>
      <c r="AJ4" s="9" t="s">
        <v>144</v>
      </c>
      <c r="AK4" s="24" t="s">
        <v>145</v>
      </c>
      <c r="AL4" s="24" t="s">
        <v>146</v>
      </c>
      <c r="AM4" s="24" t="s">
        <v>147</v>
      </c>
      <c r="AN4" s="24" t="s">
        <v>148</v>
      </c>
      <c r="AO4" s="24" t="s">
        <v>149</v>
      </c>
      <c r="AP4" s="24" t="s">
        <v>150</v>
      </c>
    </row>
    <row r="5" s="86" customFormat="1" ht="24.95" customHeight="1" spans="1:42">
      <c r="A5" s="99">
        <v>1</v>
      </c>
      <c r="B5" s="99" t="s">
        <v>235</v>
      </c>
      <c r="C5" s="100" t="s">
        <v>236</v>
      </c>
      <c r="D5" s="101" t="s">
        <v>237</v>
      </c>
      <c r="E5" s="101" t="s">
        <v>238</v>
      </c>
      <c r="F5" s="99" t="s">
        <v>239</v>
      </c>
      <c r="G5" s="78">
        <v>9</v>
      </c>
      <c r="H5" s="102">
        <v>43823</v>
      </c>
      <c r="I5" s="100" t="s">
        <v>240</v>
      </c>
      <c r="J5" s="132">
        <v>95</v>
      </c>
      <c r="K5" s="132">
        <v>30</v>
      </c>
      <c r="L5" s="132">
        <v>580</v>
      </c>
      <c r="M5" s="132">
        <v>30</v>
      </c>
      <c r="N5" s="99">
        <v>7</v>
      </c>
      <c r="O5" s="78">
        <v>92000</v>
      </c>
      <c r="P5" s="78">
        <v>8141.59</v>
      </c>
      <c r="Q5" s="78">
        <f t="shared" ref="Q5:Q36" si="0">ROUND((O5+P5)*0.97/N5,2)</f>
        <v>13876.76</v>
      </c>
      <c r="R5" s="78">
        <f t="shared" ref="R5:R36" si="1">L5*$B$40</f>
        <v>6960</v>
      </c>
      <c r="S5" s="78">
        <f>4200*12</f>
        <v>50400</v>
      </c>
      <c r="T5" s="78">
        <v>6472.8</v>
      </c>
      <c r="U5" s="78">
        <v>6822.81</v>
      </c>
      <c r="V5" s="78">
        <f>AM5*0.12*6.08*1.1</f>
        <v>46965.8112</v>
      </c>
      <c r="W5" s="78">
        <v>360</v>
      </c>
      <c r="X5" s="78">
        <v>680</v>
      </c>
      <c r="Y5" s="78">
        <f>371*4</f>
        <v>1484</v>
      </c>
      <c r="Z5" s="78">
        <v>3210</v>
      </c>
      <c r="AA5" s="78">
        <v>8000</v>
      </c>
      <c r="AB5" s="78">
        <v>960</v>
      </c>
      <c r="AC5" s="78">
        <v>40</v>
      </c>
      <c r="AD5" s="78">
        <f>360*12</f>
        <v>4320</v>
      </c>
      <c r="AE5" s="78">
        <f>100*12</f>
        <v>1200</v>
      </c>
      <c r="AF5" s="78">
        <f>SUM(Q5:AE5)</f>
        <v>151752.1812</v>
      </c>
      <c r="AG5" s="78">
        <f>(G5-1)*AK5*11*通江农村客运车辆成本信息核定表!$H$8</f>
        <v>2365.44</v>
      </c>
      <c r="AH5" s="100" t="s">
        <v>240</v>
      </c>
      <c r="AI5" s="78">
        <v>95</v>
      </c>
      <c r="AJ5" s="78">
        <v>30</v>
      </c>
      <c r="AK5" s="78">
        <v>56</v>
      </c>
      <c r="AL5" s="78">
        <v>28</v>
      </c>
      <c r="AM5" s="78">
        <f>AI5*AK5*11</f>
        <v>58520</v>
      </c>
      <c r="AN5" s="78">
        <v>1645</v>
      </c>
      <c r="AO5" s="78">
        <v>7200</v>
      </c>
      <c r="AP5" s="78">
        <f>AG5*AJ5</f>
        <v>70963.2</v>
      </c>
    </row>
    <row r="6" s="86" customFormat="1" ht="24.95" customHeight="1" spans="1:42">
      <c r="A6" s="99">
        <v>2</v>
      </c>
      <c r="B6" s="99" t="s">
        <v>241</v>
      </c>
      <c r="C6" s="100" t="s">
        <v>242</v>
      </c>
      <c r="D6" s="101" t="s">
        <v>243</v>
      </c>
      <c r="E6" s="101" t="s">
        <v>244</v>
      </c>
      <c r="F6" s="99" t="s">
        <v>245</v>
      </c>
      <c r="G6" s="78">
        <v>14</v>
      </c>
      <c r="H6" s="102">
        <v>42964</v>
      </c>
      <c r="I6" s="100" t="s">
        <v>246</v>
      </c>
      <c r="J6" s="132">
        <v>72</v>
      </c>
      <c r="K6" s="132">
        <v>30</v>
      </c>
      <c r="L6" s="132">
        <v>700</v>
      </c>
      <c r="M6" s="132">
        <v>30</v>
      </c>
      <c r="N6" s="99">
        <v>7</v>
      </c>
      <c r="O6" s="78">
        <v>95300</v>
      </c>
      <c r="P6" s="78">
        <v>8145.3</v>
      </c>
      <c r="Q6" s="78">
        <f t="shared" si="0"/>
        <v>14334.56</v>
      </c>
      <c r="R6" s="78">
        <f t="shared" si="1"/>
        <v>8400</v>
      </c>
      <c r="S6" s="78">
        <f t="shared" ref="S6:S15" si="2">4200*12</f>
        <v>50400</v>
      </c>
      <c r="T6" s="78">
        <v>6472.8</v>
      </c>
      <c r="U6" s="78">
        <v>12243.13</v>
      </c>
      <c r="V6" s="78">
        <f t="shared" ref="V6:V36" si="3">AM6*0.12*6.08*1.1</f>
        <v>35595.14112</v>
      </c>
      <c r="W6" s="78">
        <v>360</v>
      </c>
      <c r="X6" s="78">
        <v>680</v>
      </c>
      <c r="Y6" s="78">
        <f t="shared" ref="Y6:Y36" si="4">371*4</f>
        <v>1484</v>
      </c>
      <c r="Z6" s="78">
        <v>3500</v>
      </c>
      <c r="AA6" s="78">
        <v>8500</v>
      </c>
      <c r="AB6" s="78">
        <v>960</v>
      </c>
      <c r="AC6" s="78">
        <v>40</v>
      </c>
      <c r="AD6" s="78">
        <f>450*12</f>
        <v>5400</v>
      </c>
      <c r="AE6" s="78">
        <f t="shared" ref="AE6:AE36" si="5">100*12</f>
        <v>1200</v>
      </c>
      <c r="AF6" s="78">
        <f>SUM(Q6:AE6)</f>
        <v>149569.63112</v>
      </c>
      <c r="AG6" s="78">
        <f>(G6-1)*AK6*11*通江农村客运车辆成本信息核定表!$H$8</f>
        <v>3843.84</v>
      </c>
      <c r="AH6" s="100" t="s">
        <v>246</v>
      </c>
      <c r="AI6" s="78">
        <v>72</v>
      </c>
      <c r="AJ6" s="78">
        <v>30</v>
      </c>
      <c r="AK6" s="78">
        <v>56</v>
      </c>
      <c r="AL6" s="78">
        <v>28</v>
      </c>
      <c r="AM6" s="78">
        <f t="shared" ref="AM6:AM36" si="6">AI6*AK6*11</f>
        <v>44352</v>
      </c>
      <c r="AN6" s="78">
        <v>1645</v>
      </c>
      <c r="AO6" s="78">
        <v>7200</v>
      </c>
      <c r="AP6" s="78">
        <f t="shared" ref="AP6:AP36" si="7">AG6*AJ6</f>
        <v>115315.2</v>
      </c>
    </row>
    <row r="7" s="86" customFormat="1" ht="24.95" customHeight="1" spans="1:42">
      <c r="A7" s="99">
        <v>3</v>
      </c>
      <c r="B7" s="99" t="s">
        <v>247</v>
      </c>
      <c r="C7" s="100" t="s">
        <v>248</v>
      </c>
      <c r="D7" s="101" t="s">
        <v>249</v>
      </c>
      <c r="E7" s="101" t="s">
        <v>250</v>
      </c>
      <c r="F7" s="99" t="s">
        <v>251</v>
      </c>
      <c r="G7" s="78">
        <v>19</v>
      </c>
      <c r="H7" s="102">
        <v>43322</v>
      </c>
      <c r="I7" s="100" t="s">
        <v>252</v>
      </c>
      <c r="J7" s="132">
        <v>70</v>
      </c>
      <c r="K7" s="132">
        <v>25</v>
      </c>
      <c r="L7" s="132">
        <v>740</v>
      </c>
      <c r="M7" s="132">
        <v>25</v>
      </c>
      <c r="N7" s="99">
        <v>7</v>
      </c>
      <c r="O7" s="78">
        <v>108000</v>
      </c>
      <c r="P7" s="78">
        <v>9310.35</v>
      </c>
      <c r="Q7" s="78">
        <f t="shared" si="0"/>
        <v>16255.86</v>
      </c>
      <c r="R7" s="78">
        <f t="shared" si="1"/>
        <v>8880</v>
      </c>
      <c r="S7" s="78">
        <f t="shared" si="2"/>
        <v>50400</v>
      </c>
      <c r="T7" s="78">
        <v>6472.8</v>
      </c>
      <c r="U7" s="78">
        <v>14044.29</v>
      </c>
      <c r="V7" s="78">
        <f t="shared" si="3"/>
        <v>34606.3872</v>
      </c>
      <c r="W7" s="78">
        <v>360</v>
      </c>
      <c r="X7" s="78">
        <v>680</v>
      </c>
      <c r="Y7" s="78">
        <f t="shared" si="4"/>
        <v>1484</v>
      </c>
      <c r="Z7" s="78">
        <v>4000</v>
      </c>
      <c r="AA7" s="78">
        <v>10500</v>
      </c>
      <c r="AB7" s="78">
        <v>960</v>
      </c>
      <c r="AC7" s="78">
        <v>40</v>
      </c>
      <c r="AD7" s="78">
        <f>550*12</f>
        <v>6600</v>
      </c>
      <c r="AE7" s="78">
        <f t="shared" si="5"/>
        <v>1200</v>
      </c>
      <c r="AF7" s="78">
        <f t="shared" ref="AF7:AF36" si="8">SUM(Q7:AE7)</f>
        <v>156483.3372</v>
      </c>
      <c r="AG7" s="78">
        <f>(G7-1)*AK7*11*通江农村客运车辆成本信息核定表!$H$8</f>
        <v>5322.24</v>
      </c>
      <c r="AH7" s="100" t="s">
        <v>252</v>
      </c>
      <c r="AI7" s="78">
        <v>70</v>
      </c>
      <c r="AJ7" s="78">
        <v>25</v>
      </c>
      <c r="AK7" s="78">
        <v>56</v>
      </c>
      <c r="AL7" s="78">
        <v>28</v>
      </c>
      <c r="AM7" s="78">
        <f t="shared" si="6"/>
        <v>43120</v>
      </c>
      <c r="AN7" s="78">
        <v>1645</v>
      </c>
      <c r="AO7" s="78">
        <v>7200</v>
      </c>
      <c r="AP7" s="78">
        <f t="shared" si="7"/>
        <v>133056</v>
      </c>
    </row>
    <row r="8" s="86" customFormat="1" ht="24.95" customHeight="1" spans="1:42">
      <c r="A8" s="99">
        <v>4</v>
      </c>
      <c r="B8" s="99" t="s">
        <v>253</v>
      </c>
      <c r="C8" s="100" t="s">
        <v>242</v>
      </c>
      <c r="D8" s="101" t="s">
        <v>254</v>
      </c>
      <c r="E8" s="230" t="s">
        <v>255</v>
      </c>
      <c r="F8" s="99" t="s">
        <v>256</v>
      </c>
      <c r="G8" s="78">
        <v>11</v>
      </c>
      <c r="H8" s="102">
        <v>44043</v>
      </c>
      <c r="I8" s="100" t="s">
        <v>257</v>
      </c>
      <c r="J8" s="132">
        <v>56</v>
      </c>
      <c r="K8" s="132">
        <v>25</v>
      </c>
      <c r="L8" s="132">
        <v>620</v>
      </c>
      <c r="M8" s="132">
        <v>25</v>
      </c>
      <c r="N8" s="99">
        <v>7</v>
      </c>
      <c r="O8" s="78">
        <v>127400</v>
      </c>
      <c r="P8" s="78">
        <v>11274.34</v>
      </c>
      <c r="Q8" s="78">
        <f t="shared" si="0"/>
        <v>19216.3</v>
      </c>
      <c r="R8" s="78">
        <f t="shared" si="1"/>
        <v>7440</v>
      </c>
      <c r="S8" s="78">
        <f t="shared" si="2"/>
        <v>50400</v>
      </c>
      <c r="T8" s="78">
        <v>6472.8</v>
      </c>
      <c r="U8" s="78">
        <v>13344.52</v>
      </c>
      <c r="V8" s="78">
        <f t="shared" si="3"/>
        <v>27685.10976</v>
      </c>
      <c r="W8" s="78">
        <v>360</v>
      </c>
      <c r="X8" s="78">
        <v>680</v>
      </c>
      <c r="Y8" s="78">
        <f t="shared" si="4"/>
        <v>1484</v>
      </c>
      <c r="Z8" s="78">
        <v>3210</v>
      </c>
      <c r="AA8" s="78">
        <v>8200</v>
      </c>
      <c r="AB8" s="78">
        <v>960</v>
      </c>
      <c r="AC8" s="78">
        <v>40</v>
      </c>
      <c r="AD8" s="78">
        <f>400*12</f>
        <v>4800</v>
      </c>
      <c r="AE8" s="78">
        <f t="shared" si="5"/>
        <v>1200</v>
      </c>
      <c r="AF8" s="78">
        <f t="shared" si="8"/>
        <v>145492.72976</v>
      </c>
      <c r="AG8" s="78">
        <f>(G8-1)*AK8*11*通江农村客运车辆成本信息核定表!$H$8</f>
        <v>2956.8</v>
      </c>
      <c r="AH8" s="100" t="s">
        <v>257</v>
      </c>
      <c r="AI8" s="78">
        <v>56</v>
      </c>
      <c r="AJ8" s="78">
        <v>25</v>
      </c>
      <c r="AK8" s="78">
        <v>56</v>
      </c>
      <c r="AL8" s="78">
        <v>28</v>
      </c>
      <c r="AM8" s="78">
        <f t="shared" si="6"/>
        <v>34496</v>
      </c>
      <c r="AN8" s="78">
        <v>1645</v>
      </c>
      <c r="AO8" s="78">
        <v>7200</v>
      </c>
      <c r="AP8" s="78">
        <f t="shared" si="7"/>
        <v>73920</v>
      </c>
    </row>
    <row r="9" s="86" customFormat="1" ht="24.95" customHeight="1" spans="1:42">
      <c r="A9" s="99">
        <v>5</v>
      </c>
      <c r="B9" s="99" t="s">
        <v>263</v>
      </c>
      <c r="C9" s="100" t="s">
        <v>242</v>
      </c>
      <c r="D9" s="101" t="s">
        <v>264</v>
      </c>
      <c r="E9" s="101" t="s">
        <v>265</v>
      </c>
      <c r="F9" s="99" t="s">
        <v>266</v>
      </c>
      <c r="G9" s="78">
        <v>14</v>
      </c>
      <c r="H9" s="102">
        <v>44015</v>
      </c>
      <c r="I9" s="100" t="s">
        <v>267</v>
      </c>
      <c r="J9" s="132">
        <v>80</v>
      </c>
      <c r="K9" s="132">
        <v>35</v>
      </c>
      <c r="L9" s="132">
        <v>700</v>
      </c>
      <c r="M9" s="132">
        <v>35</v>
      </c>
      <c r="N9" s="99">
        <v>7</v>
      </c>
      <c r="O9" s="78">
        <v>150900</v>
      </c>
      <c r="P9" s="78">
        <v>13353.98</v>
      </c>
      <c r="Q9" s="78">
        <f t="shared" si="0"/>
        <v>22760.91</v>
      </c>
      <c r="R9" s="78">
        <f t="shared" si="1"/>
        <v>8400</v>
      </c>
      <c r="S9" s="78">
        <f t="shared" si="2"/>
        <v>50400</v>
      </c>
      <c r="T9" s="78">
        <v>6472.8</v>
      </c>
      <c r="U9" s="78">
        <v>15076.11</v>
      </c>
      <c r="V9" s="78">
        <f t="shared" si="3"/>
        <v>39550.1568</v>
      </c>
      <c r="W9" s="78">
        <v>360</v>
      </c>
      <c r="X9" s="78">
        <v>680</v>
      </c>
      <c r="Y9" s="78">
        <f t="shared" si="4"/>
        <v>1484</v>
      </c>
      <c r="Z9" s="78">
        <v>3500</v>
      </c>
      <c r="AA9" s="78">
        <v>8500</v>
      </c>
      <c r="AB9" s="78">
        <v>960</v>
      </c>
      <c r="AC9" s="78">
        <v>40</v>
      </c>
      <c r="AD9" s="78">
        <f>450*12</f>
        <v>5400</v>
      </c>
      <c r="AE9" s="78">
        <f t="shared" si="5"/>
        <v>1200</v>
      </c>
      <c r="AF9" s="78">
        <f t="shared" si="8"/>
        <v>164783.9768</v>
      </c>
      <c r="AG9" s="78">
        <f>(G9-1)*AK9*11*通江农村客运车辆成本信息核定表!$H$8</f>
        <v>3843.84</v>
      </c>
      <c r="AH9" s="100" t="s">
        <v>267</v>
      </c>
      <c r="AI9" s="78">
        <v>80</v>
      </c>
      <c r="AJ9" s="78">
        <v>35</v>
      </c>
      <c r="AK9" s="78">
        <v>56</v>
      </c>
      <c r="AL9" s="78">
        <v>28</v>
      </c>
      <c r="AM9" s="78">
        <f t="shared" si="6"/>
        <v>49280</v>
      </c>
      <c r="AN9" s="78">
        <v>1645</v>
      </c>
      <c r="AO9" s="78">
        <v>7200</v>
      </c>
      <c r="AP9" s="78">
        <f t="shared" si="7"/>
        <v>134534.4</v>
      </c>
    </row>
    <row r="10" s="86" customFormat="1" ht="24.95" customHeight="1" spans="1:42">
      <c r="A10" s="99">
        <v>6</v>
      </c>
      <c r="B10" s="99" t="s">
        <v>268</v>
      </c>
      <c r="C10" s="100" t="s">
        <v>269</v>
      </c>
      <c r="D10" s="101" t="s">
        <v>270</v>
      </c>
      <c r="E10" s="101" t="s">
        <v>271</v>
      </c>
      <c r="F10" s="99" t="s">
        <v>272</v>
      </c>
      <c r="G10" s="78">
        <v>11</v>
      </c>
      <c r="H10" s="102">
        <v>42312</v>
      </c>
      <c r="I10" s="100" t="s">
        <v>273</v>
      </c>
      <c r="J10" s="132">
        <v>37</v>
      </c>
      <c r="K10" s="132">
        <v>17</v>
      </c>
      <c r="L10" s="132">
        <v>620</v>
      </c>
      <c r="M10" s="132">
        <v>17</v>
      </c>
      <c r="N10" s="99">
        <v>7</v>
      </c>
      <c r="O10" s="78">
        <v>69000</v>
      </c>
      <c r="P10" s="78">
        <v>5897.44</v>
      </c>
      <c r="Q10" s="78">
        <f t="shared" si="0"/>
        <v>10378.65</v>
      </c>
      <c r="R10" s="78">
        <f t="shared" si="1"/>
        <v>7440</v>
      </c>
      <c r="S10" s="78">
        <f t="shared" si="2"/>
        <v>50400</v>
      </c>
      <c r="T10" s="78">
        <v>6472.8</v>
      </c>
      <c r="U10" s="78">
        <v>10629.61</v>
      </c>
      <c r="V10" s="78">
        <f t="shared" si="3"/>
        <v>54875.84256</v>
      </c>
      <c r="W10" s="78">
        <v>360</v>
      </c>
      <c r="X10" s="78">
        <v>680</v>
      </c>
      <c r="Y10" s="78">
        <f t="shared" si="4"/>
        <v>1484</v>
      </c>
      <c r="Z10" s="78">
        <v>3210</v>
      </c>
      <c r="AA10" s="78">
        <v>8200</v>
      </c>
      <c r="AB10" s="78">
        <v>960</v>
      </c>
      <c r="AC10" s="78">
        <v>40</v>
      </c>
      <c r="AD10" s="78">
        <f>400*12</f>
        <v>4800</v>
      </c>
      <c r="AE10" s="78">
        <f t="shared" si="5"/>
        <v>1200</v>
      </c>
      <c r="AF10" s="78">
        <f t="shared" si="8"/>
        <v>161130.90256</v>
      </c>
      <c r="AG10" s="78">
        <f>(G10-1)*AK10*11*通江农村客运车辆成本信息核定表!$H$8</f>
        <v>8870.4</v>
      </c>
      <c r="AH10" s="100" t="s">
        <v>273</v>
      </c>
      <c r="AI10" s="78">
        <v>37</v>
      </c>
      <c r="AJ10" s="78">
        <v>17</v>
      </c>
      <c r="AK10" s="78">
        <f>28*2*3</f>
        <v>168</v>
      </c>
      <c r="AL10" s="78">
        <v>28</v>
      </c>
      <c r="AM10" s="78">
        <f t="shared" si="6"/>
        <v>68376</v>
      </c>
      <c r="AN10" s="78">
        <v>1645</v>
      </c>
      <c r="AO10" s="78">
        <v>7200</v>
      </c>
      <c r="AP10" s="78">
        <f t="shared" si="7"/>
        <v>150796.8</v>
      </c>
    </row>
    <row r="11" s="86" customFormat="1" ht="24.95" customHeight="1" spans="1:42">
      <c r="A11" s="99">
        <v>7</v>
      </c>
      <c r="B11" s="99" t="s">
        <v>274</v>
      </c>
      <c r="C11" s="100" t="s">
        <v>236</v>
      </c>
      <c r="D11" s="101" t="s">
        <v>275</v>
      </c>
      <c r="E11" s="101" t="s">
        <v>276</v>
      </c>
      <c r="F11" s="99" t="s">
        <v>277</v>
      </c>
      <c r="G11" s="78">
        <v>9</v>
      </c>
      <c r="H11" s="102">
        <v>43950</v>
      </c>
      <c r="I11" s="100" t="s">
        <v>278</v>
      </c>
      <c r="J11" s="132">
        <v>37</v>
      </c>
      <c r="K11" s="132">
        <v>17</v>
      </c>
      <c r="L11" s="132">
        <v>580</v>
      </c>
      <c r="M11" s="132">
        <v>17</v>
      </c>
      <c r="N11" s="99">
        <v>7</v>
      </c>
      <c r="O11" s="78">
        <v>90000</v>
      </c>
      <c r="P11" s="78">
        <v>79646.02</v>
      </c>
      <c r="Q11" s="78">
        <f t="shared" si="0"/>
        <v>23508.09</v>
      </c>
      <c r="R11" s="78">
        <f t="shared" si="1"/>
        <v>6960</v>
      </c>
      <c r="S11" s="78">
        <f t="shared" si="2"/>
        <v>50400</v>
      </c>
      <c r="T11" s="78">
        <v>6472.8</v>
      </c>
      <c r="U11" s="78">
        <v>10679.16</v>
      </c>
      <c r="V11" s="78">
        <f t="shared" si="3"/>
        <v>54875.84256</v>
      </c>
      <c r="W11" s="78">
        <v>360</v>
      </c>
      <c r="X11" s="78">
        <v>680</v>
      </c>
      <c r="Y11" s="78">
        <f t="shared" si="4"/>
        <v>1484</v>
      </c>
      <c r="Z11" s="78">
        <v>3210</v>
      </c>
      <c r="AA11" s="78">
        <v>8000</v>
      </c>
      <c r="AB11" s="78">
        <v>960</v>
      </c>
      <c r="AC11" s="78">
        <v>40</v>
      </c>
      <c r="AD11" s="78">
        <f>360*12</f>
        <v>4320</v>
      </c>
      <c r="AE11" s="78">
        <f t="shared" si="5"/>
        <v>1200</v>
      </c>
      <c r="AF11" s="78">
        <f t="shared" si="8"/>
        <v>173149.89256</v>
      </c>
      <c r="AG11" s="78">
        <f>(G11-1)*AK11*11*通江农村客运车辆成本信息核定表!$H$8</f>
        <v>7096.32</v>
      </c>
      <c r="AH11" s="100" t="s">
        <v>278</v>
      </c>
      <c r="AI11" s="78">
        <v>37</v>
      </c>
      <c r="AJ11" s="78">
        <v>17</v>
      </c>
      <c r="AK11" s="78">
        <f>28*2*3</f>
        <v>168</v>
      </c>
      <c r="AL11" s="78">
        <v>28</v>
      </c>
      <c r="AM11" s="78">
        <f t="shared" si="6"/>
        <v>68376</v>
      </c>
      <c r="AN11" s="78">
        <v>1645</v>
      </c>
      <c r="AO11" s="78">
        <v>7200</v>
      </c>
      <c r="AP11" s="78">
        <f t="shared" si="7"/>
        <v>120637.44</v>
      </c>
    </row>
    <row r="12" s="86" customFormat="1" ht="24.95" customHeight="1" spans="1:42">
      <c r="A12" s="99">
        <v>8</v>
      </c>
      <c r="B12" s="99" t="s">
        <v>279</v>
      </c>
      <c r="C12" s="100" t="s">
        <v>269</v>
      </c>
      <c r="D12" s="101" t="s">
        <v>280</v>
      </c>
      <c r="E12" s="101">
        <v>137420</v>
      </c>
      <c r="F12" s="99" t="s">
        <v>281</v>
      </c>
      <c r="G12" s="78">
        <v>11</v>
      </c>
      <c r="H12" s="102">
        <v>43431</v>
      </c>
      <c r="I12" s="100" t="s">
        <v>273</v>
      </c>
      <c r="J12" s="132">
        <v>37</v>
      </c>
      <c r="K12" s="132">
        <v>17</v>
      </c>
      <c r="L12" s="132">
        <v>620</v>
      </c>
      <c r="M12" s="132">
        <v>17</v>
      </c>
      <c r="N12" s="99">
        <v>7</v>
      </c>
      <c r="O12" s="78">
        <v>95000</v>
      </c>
      <c r="P12" s="78">
        <v>8189.66</v>
      </c>
      <c r="Q12" s="78">
        <f t="shared" si="0"/>
        <v>14299.14</v>
      </c>
      <c r="R12" s="78">
        <f t="shared" si="1"/>
        <v>7440</v>
      </c>
      <c r="S12" s="78">
        <f t="shared" si="2"/>
        <v>50400</v>
      </c>
      <c r="T12" s="78">
        <v>6472.8</v>
      </c>
      <c r="U12" s="78">
        <v>8431.29</v>
      </c>
      <c r="V12" s="78">
        <f t="shared" si="3"/>
        <v>54875.84256</v>
      </c>
      <c r="W12" s="78">
        <v>360</v>
      </c>
      <c r="X12" s="78">
        <v>680</v>
      </c>
      <c r="Y12" s="78">
        <f t="shared" si="4"/>
        <v>1484</v>
      </c>
      <c r="Z12" s="78">
        <v>3210</v>
      </c>
      <c r="AA12" s="78">
        <v>8200</v>
      </c>
      <c r="AB12" s="78">
        <v>960</v>
      </c>
      <c r="AC12" s="78">
        <v>40</v>
      </c>
      <c r="AD12" s="78">
        <f>400*12</f>
        <v>4800</v>
      </c>
      <c r="AE12" s="78">
        <f t="shared" si="5"/>
        <v>1200</v>
      </c>
      <c r="AF12" s="78">
        <f t="shared" si="8"/>
        <v>162853.07256</v>
      </c>
      <c r="AG12" s="78">
        <f>(G12-1)*AK12*11*通江农村客运车辆成本信息核定表!$H$8</f>
        <v>8870.4</v>
      </c>
      <c r="AH12" s="100" t="s">
        <v>273</v>
      </c>
      <c r="AI12" s="78">
        <v>37</v>
      </c>
      <c r="AJ12" s="78">
        <v>17</v>
      </c>
      <c r="AK12" s="78">
        <f>28*2*3</f>
        <v>168</v>
      </c>
      <c r="AL12" s="78">
        <v>28</v>
      </c>
      <c r="AM12" s="78">
        <f t="shared" si="6"/>
        <v>68376</v>
      </c>
      <c r="AN12" s="78">
        <v>1645</v>
      </c>
      <c r="AO12" s="78">
        <v>7200</v>
      </c>
      <c r="AP12" s="78">
        <f t="shared" si="7"/>
        <v>150796.8</v>
      </c>
    </row>
    <row r="13" s="86" customFormat="1" ht="24.95" customHeight="1" spans="1:42">
      <c r="A13" s="99">
        <v>9</v>
      </c>
      <c r="B13" s="99" t="s">
        <v>282</v>
      </c>
      <c r="C13" s="100" t="s">
        <v>248</v>
      </c>
      <c r="D13" s="101" t="s">
        <v>283</v>
      </c>
      <c r="E13" s="101" t="s">
        <v>284</v>
      </c>
      <c r="F13" s="99" t="s">
        <v>285</v>
      </c>
      <c r="G13" s="78">
        <v>19</v>
      </c>
      <c r="H13" s="102">
        <v>43950</v>
      </c>
      <c r="I13" s="100" t="s">
        <v>286</v>
      </c>
      <c r="J13" s="132">
        <v>30</v>
      </c>
      <c r="K13" s="132">
        <v>12</v>
      </c>
      <c r="L13" s="132">
        <v>740</v>
      </c>
      <c r="M13" s="132">
        <v>12</v>
      </c>
      <c r="N13" s="99">
        <v>7</v>
      </c>
      <c r="O13" s="78">
        <v>153000</v>
      </c>
      <c r="P13" s="78">
        <v>13539.82</v>
      </c>
      <c r="Q13" s="78">
        <f t="shared" si="0"/>
        <v>23077.66</v>
      </c>
      <c r="R13" s="78">
        <f t="shared" si="1"/>
        <v>8880</v>
      </c>
      <c r="S13" s="78">
        <f t="shared" si="2"/>
        <v>50400</v>
      </c>
      <c r="T13" s="78">
        <v>6472.8</v>
      </c>
      <c r="U13" s="78">
        <v>16942.11</v>
      </c>
      <c r="V13" s="78">
        <f t="shared" si="3"/>
        <v>44493.9264</v>
      </c>
      <c r="W13" s="78">
        <v>360</v>
      </c>
      <c r="X13" s="78">
        <v>680</v>
      </c>
      <c r="Y13" s="78">
        <f t="shared" si="4"/>
        <v>1484</v>
      </c>
      <c r="Z13" s="78">
        <v>4000</v>
      </c>
      <c r="AA13" s="78">
        <v>10500</v>
      </c>
      <c r="AB13" s="78">
        <v>960</v>
      </c>
      <c r="AC13" s="78">
        <v>40</v>
      </c>
      <c r="AD13" s="78">
        <f>550*12</f>
        <v>6600</v>
      </c>
      <c r="AE13" s="78">
        <f t="shared" si="5"/>
        <v>1200</v>
      </c>
      <c r="AF13" s="78">
        <f t="shared" si="8"/>
        <v>176090.4964</v>
      </c>
      <c r="AG13" s="78">
        <f>(G13-1)*AK13*11*通江农村客运车辆成本信息核定表!$H$8</f>
        <v>15966.72</v>
      </c>
      <c r="AH13" s="100" t="s">
        <v>286</v>
      </c>
      <c r="AI13" s="78">
        <v>30</v>
      </c>
      <c r="AJ13" s="78">
        <v>12</v>
      </c>
      <c r="AK13" s="78">
        <f>28*2*3</f>
        <v>168</v>
      </c>
      <c r="AL13" s="78">
        <v>28</v>
      </c>
      <c r="AM13" s="78">
        <f t="shared" si="6"/>
        <v>55440</v>
      </c>
      <c r="AN13" s="78">
        <v>1645</v>
      </c>
      <c r="AO13" s="78">
        <v>7200</v>
      </c>
      <c r="AP13" s="78">
        <f t="shared" si="7"/>
        <v>191600.64</v>
      </c>
    </row>
    <row r="14" s="86" customFormat="1" ht="24.95" customHeight="1" spans="1:42">
      <c r="A14" s="99">
        <v>10</v>
      </c>
      <c r="B14" s="99" t="s">
        <v>287</v>
      </c>
      <c r="C14" s="100" t="s">
        <v>288</v>
      </c>
      <c r="D14" s="101" t="s">
        <v>289</v>
      </c>
      <c r="E14" s="101">
        <v>313287</v>
      </c>
      <c r="F14" s="99" t="s">
        <v>290</v>
      </c>
      <c r="G14" s="78">
        <v>9</v>
      </c>
      <c r="H14" s="102">
        <v>43265</v>
      </c>
      <c r="I14" s="100" t="s">
        <v>291</v>
      </c>
      <c r="J14" s="132">
        <v>90</v>
      </c>
      <c r="K14" s="132">
        <v>30</v>
      </c>
      <c r="L14" s="132">
        <v>580</v>
      </c>
      <c r="M14" s="132">
        <v>30</v>
      </c>
      <c r="N14" s="99">
        <v>7</v>
      </c>
      <c r="O14" s="78">
        <v>68000</v>
      </c>
      <c r="P14" s="78">
        <v>5862.07</v>
      </c>
      <c r="Q14" s="78">
        <f t="shared" si="0"/>
        <v>10235.17</v>
      </c>
      <c r="R14" s="78">
        <f t="shared" si="1"/>
        <v>6960</v>
      </c>
      <c r="S14" s="78">
        <f t="shared" si="2"/>
        <v>50400</v>
      </c>
      <c r="T14" s="78">
        <v>6472.8</v>
      </c>
      <c r="U14" s="78">
        <v>9703.12</v>
      </c>
      <c r="V14" s="78">
        <f t="shared" si="3"/>
        <v>44493.9264</v>
      </c>
      <c r="W14" s="78">
        <v>360</v>
      </c>
      <c r="X14" s="78">
        <v>680</v>
      </c>
      <c r="Y14" s="78">
        <f t="shared" si="4"/>
        <v>1484</v>
      </c>
      <c r="Z14" s="78">
        <v>3210</v>
      </c>
      <c r="AA14" s="78">
        <v>8000</v>
      </c>
      <c r="AB14" s="78">
        <v>960</v>
      </c>
      <c r="AC14" s="78">
        <v>40</v>
      </c>
      <c r="AD14" s="78">
        <f>360*12</f>
        <v>4320</v>
      </c>
      <c r="AE14" s="78">
        <f t="shared" si="5"/>
        <v>1200</v>
      </c>
      <c r="AF14" s="78">
        <f t="shared" si="8"/>
        <v>148519.0164</v>
      </c>
      <c r="AG14" s="78">
        <f>(G14-1)*AK14*11*通江农村客运车辆成本信息核定表!$H$8</f>
        <v>2365.44</v>
      </c>
      <c r="AH14" s="100" t="s">
        <v>291</v>
      </c>
      <c r="AI14" s="78">
        <v>90</v>
      </c>
      <c r="AJ14" s="78">
        <v>30</v>
      </c>
      <c r="AK14" s="78">
        <f>28*2*1</f>
        <v>56</v>
      </c>
      <c r="AL14" s="78">
        <v>28</v>
      </c>
      <c r="AM14" s="78">
        <f t="shared" si="6"/>
        <v>55440</v>
      </c>
      <c r="AN14" s="78">
        <v>1645</v>
      </c>
      <c r="AO14" s="78">
        <v>7200</v>
      </c>
      <c r="AP14" s="78">
        <f t="shared" si="7"/>
        <v>70963.2</v>
      </c>
    </row>
    <row r="15" s="86" customFormat="1" ht="24.95" customHeight="1" spans="1:42">
      <c r="A15" s="99">
        <v>11</v>
      </c>
      <c r="B15" s="99" t="s">
        <v>292</v>
      </c>
      <c r="C15" s="100" t="s">
        <v>242</v>
      </c>
      <c r="D15" s="101" t="s">
        <v>293</v>
      </c>
      <c r="E15" s="101" t="s">
        <v>294</v>
      </c>
      <c r="F15" s="99" t="s">
        <v>295</v>
      </c>
      <c r="G15" s="78">
        <v>14</v>
      </c>
      <c r="H15" s="102">
        <v>43669</v>
      </c>
      <c r="I15" s="100" t="s">
        <v>296</v>
      </c>
      <c r="J15" s="132">
        <v>49</v>
      </c>
      <c r="K15" s="132">
        <v>20</v>
      </c>
      <c r="L15" s="132">
        <v>700</v>
      </c>
      <c r="M15" s="132">
        <v>20</v>
      </c>
      <c r="N15" s="99">
        <v>7</v>
      </c>
      <c r="O15" s="78">
        <v>143000</v>
      </c>
      <c r="P15" s="78">
        <v>12654.49</v>
      </c>
      <c r="Q15" s="78">
        <f t="shared" si="0"/>
        <v>21569.27</v>
      </c>
      <c r="R15" s="78">
        <f t="shared" si="1"/>
        <v>8400</v>
      </c>
      <c r="S15" s="78">
        <f t="shared" si="2"/>
        <v>50400</v>
      </c>
      <c r="T15" s="78">
        <v>6472.8</v>
      </c>
      <c r="U15" s="78">
        <v>13275.62</v>
      </c>
      <c r="V15" s="78">
        <f t="shared" si="3"/>
        <v>24224.47104</v>
      </c>
      <c r="W15" s="78">
        <v>360</v>
      </c>
      <c r="X15" s="78">
        <v>680</v>
      </c>
      <c r="Y15" s="78">
        <f t="shared" si="4"/>
        <v>1484</v>
      </c>
      <c r="Z15" s="78">
        <v>3500</v>
      </c>
      <c r="AA15" s="78">
        <v>8500</v>
      </c>
      <c r="AB15" s="78">
        <v>960</v>
      </c>
      <c r="AC15" s="78">
        <v>40</v>
      </c>
      <c r="AD15" s="78">
        <f>450*12</f>
        <v>5400</v>
      </c>
      <c r="AE15" s="78">
        <f t="shared" si="5"/>
        <v>1200</v>
      </c>
      <c r="AF15" s="78">
        <f t="shared" si="8"/>
        <v>146466.16104</v>
      </c>
      <c r="AG15" s="78">
        <f>(G15-1)*AK15*11*通江农村客运车辆成本信息核定表!$H$8</f>
        <v>3843.84</v>
      </c>
      <c r="AH15" s="100" t="s">
        <v>296</v>
      </c>
      <c r="AI15" s="78">
        <v>49</v>
      </c>
      <c r="AJ15" s="78">
        <v>20</v>
      </c>
      <c r="AK15" s="78">
        <f>28*2*1</f>
        <v>56</v>
      </c>
      <c r="AL15" s="78">
        <v>28</v>
      </c>
      <c r="AM15" s="78">
        <f t="shared" si="6"/>
        <v>30184</v>
      </c>
      <c r="AN15" s="78">
        <v>1645</v>
      </c>
      <c r="AO15" s="78">
        <v>7200</v>
      </c>
      <c r="AP15" s="78">
        <f t="shared" si="7"/>
        <v>76876.8</v>
      </c>
    </row>
    <row r="16" s="86" customFormat="1" ht="24.95" customHeight="1" spans="1:42">
      <c r="A16" s="99">
        <v>12</v>
      </c>
      <c r="B16" s="99" t="s">
        <v>297</v>
      </c>
      <c r="C16" s="100" t="s">
        <v>269</v>
      </c>
      <c r="D16" s="101" t="s">
        <v>298</v>
      </c>
      <c r="E16" s="101" t="s">
        <v>299</v>
      </c>
      <c r="F16" s="99" t="s">
        <v>300</v>
      </c>
      <c r="G16" s="78">
        <v>14</v>
      </c>
      <c r="H16" s="102">
        <v>44063</v>
      </c>
      <c r="I16" s="100" t="s">
        <v>301</v>
      </c>
      <c r="J16" s="132">
        <v>40</v>
      </c>
      <c r="K16" s="132">
        <v>15</v>
      </c>
      <c r="L16" s="132">
        <v>700</v>
      </c>
      <c r="M16" s="132">
        <v>15</v>
      </c>
      <c r="N16" s="99">
        <v>7</v>
      </c>
      <c r="O16" s="78">
        <v>156000</v>
      </c>
      <c r="P16" s="78">
        <v>13805.31</v>
      </c>
      <c r="Q16" s="78">
        <f t="shared" si="0"/>
        <v>23530.16</v>
      </c>
      <c r="R16" s="78">
        <f t="shared" si="1"/>
        <v>8400</v>
      </c>
      <c r="S16" s="78">
        <f t="shared" ref="S16:S25" si="9">4200*12</f>
        <v>50400</v>
      </c>
      <c r="T16" s="78">
        <v>6472.8</v>
      </c>
      <c r="U16" s="78">
        <v>13916.43</v>
      </c>
      <c r="V16" s="78">
        <f t="shared" si="3"/>
        <v>59325.2352</v>
      </c>
      <c r="W16" s="78">
        <v>360</v>
      </c>
      <c r="X16" s="78">
        <v>680</v>
      </c>
      <c r="Y16" s="78">
        <f t="shared" si="4"/>
        <v>1484</v>
      </c>
      <c r="Z16" s="78">
        <v>3500</v>
      </c>
      <c r="AA16" s="78">
        <v>8500</v>
      </c>
      <c r="AB16" s="78">
        <v>960</v>
      </c>
      <c r="AC16" s="78">
        <v>40</v>
      </c>
      <c r="AD16" s="78">
        <f>450*12</f>
        <v>5400</v>
      </c>
      <c r="AE16" s="78">
        <f t="shared" si="5"/>
        <v>1200</v>
      </c>
      <c r="AF16" s="78">
        <f t="shared" si="8"/>
        <v>184168.6252</v>
      </c>
      <c r="AG16" s="78">
        <f>(G16-1)*AK16*11*通江农村客运车辆成本信息核定表!$H$8</f>
        <v>11531.52</v>
      </c>
      <c r="AH16" s="100" t="s">
        <v>301</v>
      </c>
      <c r="AI16" s="78">
        <v>40</v>
      </c>
      <c r="AJ16" s="78">
        <v>15</v>
      </c>
      <c r="AK16" s="78">
        <f>28*2*3</f>
        <v>168</v>
      </c>
      <c r="AL16" s="78">
        <v>28</v>
      </c>
      <c r="AM16" s="78">
        <f t="shared" si="6"/>
        <v>73920</v>
      </c>
      <c r="AN16" s="78">
        <v>1645</v>
      </c>
      <c r="AO16" s="78">
        <v>7200</v>
      </c>
      <c r="AP16" s="78">
        <f t="shared" si="7"/>
        <v>172972.8</v>
      </c>
    </row>
    <row r="17" s="86" customFormat="1" ht="24.95" customHeight="1" spans="1:42">
      <c r="A17" s="99">
        <v>13</v>
      </c>
      <c r="B17" s="99" t="s">
        <v>302</v>
      </c>
      <c r="C17" s="100" t="s">
        <v>248</v>
      </c>
      <c r="D17" s="101" t="s">
        <v>303</v>
      </c>
      <c r="E17" s="101" t="s">
        <v>304</v>
      </c>
      <c r="F17" s="99" t="s">
        <v>305</v>
      </c>
      <c r="G17" s="78">
        <v>19</v>
      </c>
      <c r="H17" s="102">
        <v>42711</v>
      </c>
      <c r="I17" s="100" t="s">
        <v>306</v>
      </c>
      <c r="J17" s="132">
        <v>36</v>
      </c>
      <c r="K17" s="132">
        <v>13</v>
      </c>
      <c r="L17" s="132">
        <v>740</v>
      </c>
      <c r="M17" s="132">
        <v>13</v>
      </c>
      <c r="N17" s="99">
        <v>7</v>
      </c>
      <c r="O17" s="78">
        <v>53800</v>
      </c>
      <c r="P17" s="78">
        <v>4598.29</v>
      </c>
      <c r="Q17" s="78">
        <f t="shared" si="0"/>
        <v>8092.33</v>
      </c>
      <c r="R17" s="78">
        <f t="shared" si="1"/>
        <v>8880</v>
      </c>
      <c r="S17" s="78">
        <f t="shared" si="9"/>
        <v>50400</v>
      </c>
      <c r="T17" s="78">
        <v>6472.8</v>
      </c>
      <c r="U17" s="78">
        <v>11633.81</v>
      </c>
      <c r="V17" s="78">
        <f t="shared" si="3"/>
        <v>53392.71168</v>
      </c>
      <c r="W17" s="78">
        <v>360</v>
      </c>
      <c r="X17" s="78">
        <v>680</v>
      </c>
      <c r="Y17" s="78">
        <f t="shared" si="4"/>
        <v>1484</v>
      </c>
      <c r="Z17" s="78">
        <v>4000</v>
      </c>
      <c r="AA17" s="78">
        <v>10500</v>
      </c>
      <c r="AB17" s="78">
        <v>960</v>
      </c>
      <c r="AC17" s="78">
        <v>40</v>
      </c>
      <c r="AD17" s="78">
        <f>550*12</f>
        <v>6600</v>
      </c>
      <c r="AE17" s="78">
        <f t="shared" si="5"/>
        <v>1200</v>
      </c>
      <c r="AF17" s="78">
        <f t="shared" si="8"/>
        <v>164695.65168</v>
      </c>
      <c r="AG17" s="78">
        <f>(G17-1)*AK17*11*通江农村客运车辆成本信息核定表!$H$8</f>
        <v>15966.72</v>
      </c>
      <c r="AH17" s="100" t="s">
        <v>306</v>
      </c>
      <c r="AI17" s="78">
        <v>36</v>
      </c>
      <c r="AJ17" s="78">
        <v>13</v>
      </c>
      <c r="AK17" s="78">
        <f>28*2*3</f>
        <v>168</v>
      </c>
      <c r="AL17" s="78">
        <v>28</v>
      </c>
      <c r="AM17" s="78">
        <f t="shared" si="6"/>
        <v>66528</v>
      </c>
      <c r="AN17" s="78">
        <v>1645</v>
      </c>
      <c r="AO17" s="78">
        <v>7200</v>
      </c>
      <c r="AP17" s="78">
        <f t="shared" si="7"/>
        <v>207567.36</v>
      </c>
    </row>
    <row r="18" s="86" customFormat="1" ht="24.95" customHeight="1" spans="1:42">
      <c r="A18" s="99">
        <v>14</v>
      </c>
      <c r="B18" s="99" t="s">
        <v>307</v>
      </c>
      <c r="C18" s="100" t="s">
        <v>236</v>
      </c>
      <c r="D18" s="101" t="s">
        <v>308</v>
      </c>
      <c r="E18" s="101" t="s">
        <v>309</v>
      </c>
      <c r="F18" s="99" t="s">
        <v>310</v>
      </c>
      <c r="G18" s="78">
        <v>9</v>
      </c>
      <c r="H18" s="102">
        <v>44075</v>
      </c>
      <c r="I18" s="100" t="s">
        <v>311</v>
      </c>
      <c r="J18" s="132">
        <v>47</v>
      </c>
      <c r="K18" s="132">
        <v>22</v>
      </c>
      <c r="L18" s="132">
        <v>580</v>
      </c>
      <c r="M18" s="132">
        <v>22</v>
      </c>
      <c r="N18" s="99">
        <v>7</v>
      </c>
      <c r="O18" s="78">
        <v>76000</v>
      </c>
      <c r="P18" s="78">
        <v>6725.66</v>
      </c>
      <c r="Q18" s="78">
        <f t="shared" si="0"/>
        <v>11463.41</v>
      </c>
      <c r="R18" s="78">
        <f t="shared" si="1"/>
        <v>6960</v>
      </c>
      <c r="S18" s="78">
        <f t="shared" si="9"/>
        <v>50400</v>
      </c>
      <c r="T18" s="78">
        <v>6472.8</v>
      </c>
      <c r="U18" s="78">
        <v>9488.47</v>
      </c>
      <c r="V18" s="78">
        <f t="shared" si="3"/>
        <v>46471.43424</v>
      </c>
      <c r="W18" s="78">
        <v>360</v>
      </c>
      <c r="X18" s="78">
        <v>680</v>
      </c>
      <c r="Y18" s="78">
        <f t="shared" si="4"/>
        <v>1484</v>
      </c>
      <c r="Z18" s="78">
        <v>3210</v>
      </c>
      <c r="AA18" s="78">
        <v>8000</v>
      </c>
      <c r="AB18" s="78">
        <v>960</v>
      </c>
      <c r="AC18" s="78">
        <v>40</v>
      </c>
      <c r="AD18" s="78">
        <f>360*12</f>
        <v>4320</v>
      </c>
      <c r="AE18" s="78">
        <f t="shared" si="5"/>
        <v>1200</v>
      </c>
      <c r="AF18" s="78">
        <f t="shared" si="8"/>
        <v>151510.11424</v>
      </c>
      <c r="AG18" s="78">
        <f>(G18-1)*AK18*11*通江农村客运车辆成本信息核定表!$H$8</f>
        <v>4730.88</v>
      </c>
      <c r="AH18" s="100" t="s">
        <v>311</v>
      </c>
      <c r="AI18" s="78">
        <v>47</v>
      </c>
      <c r="AJ18" s="78">
        <v>22</v>
      </c>
      <c r="AK18" s="78">
        <f>28*2*2</f>
        <v>112</v>
      </c>
      <c r="AL18" s="78">
        <v>28</v>
      </c>
      <c r="AM18" s="78">
        <f t="shared" si="6"/>
        <v>57904</v>
      </c>
      <c r="AN18" s="78">
        <v>1645</v>
      </c>
      <c r="AO18" s="78">
        <v>7200</v>
      </c>
      <c r="AP18" s="78">
        <f t="shared" si="7"/>
        <v>104079.36</v>
      </c>
    </row>
    <row r="19" s="86" customFormat="1" ht="24.95" customHeight="1" spans="1:42">
      <c r="A19" s="99">
        <v>15</v>
      </c>
      <c r="B19" s="99" t="s">
        <v>316</v>
      </c>
      <c r="C19" s="100" t="s">
        <v>242</v>
      </c>
      <c r="D19" s="103" t="s">
        <v>264</v>
      </c>
      <c r="E19" s="101" t="s">
        <v>317</v>
      </c>
      <c r="F19" s="99" t="s">
        <v>318</v>
      </c>
      <c r="G19" s="78">
        <v>16</v>
      </c>
      <c r="H19" s="102">
        <v>44103</v>
      </c>
      <c r="I19" s="100" t="s">
        <v>319</v>
      </c>
      <c r="J19" s="132">
        <v>53</v>
      </c>
      <c r="K19" s="132">
        <v>17</v>
      </c>
      <c r="L19" s="132">
        <v>740</v>
      </c>
      <c r="M19" s="132">
        <v>17</v>
      </c>
      <c r="N19" s="99">
        <v>7</v>
      </c>
      <c r="O19" s="78">
        <v>145700</v>
      </c>
      <c r="P19" s="78">
        <v>12893.81</v>
      </c>
      <c r="Q19" s="78">
        <f t="shared" si="0"/>
        <v>21976.57</v>
      </c>
      <c r="R19" s="78">
        <f t="shared" si="1"/>
        <v>8880</v>
      </c>
      <c r="S19" s="78">
        <f t="shared" si="9"/>
        <v>50400</v>
      </c>
      <c r="T19" s="78">
        <v>6472.8</v>
      </c>
      <c r="U19" s="78">
        <v>14496.02</v>
      </c>
      <c r="V19" s="78">
        <f t="shared" si="3"/>
        <v>78605.93664</v>
      </c>
      <c r="W19" s="78">
        <v>360</v>
      </c>
      <c r="X19" s="78">
        <v>680</v>
      </c>
      <c r="Y19" s="78">
        <f t="shared" si="4"/>
        <v>1484</v>
      </c>
      <c r="Z19" s="78">
        <v>4000</v>
      </c>
      <c r="AA19" s="78">
        <v>10500</v>
      </c>
      <c r="AB19" s="78">
        <v>960</v>
      </c>
      <c r="AC19" s="78">
        <v>40</v>
      </c>
      <c r="AD19" s="78">
        <f>450*12</f>
        <v>5400</v>
      </c>
      <c r="AE19" s="78">
        <f t="shared" si="5"/>
        <v>1200</v>
      </c>
      <c r="AF19" s="78">
        <f t="shared" si="8"/>
        <v>205455.32664</v>
      </c>
      <c r="AG19" s="78">
        <f>(G19-1)*AK19*11*通江农村客运车辆成本信息核定表!$H$8</f>
        <v>13305.6</v>
      </c>
      <c r="AH19" s="100" t="s">
        <v>319</v>
      </c>
      <c r="AI19" s="78">
        <v>53</v>
      </c>
      <c r="AJ19" s="78">
        <v>17</v>
      </c>
      <c r="AK19" s="78">
        <f>28*2*3</f>
        <v>168</v>
      </c>
      <c r="AL19" s="78">
        <v>28</v>
      </c>
      <c r="AM19" s="78">
        <f t="shared" si="6"/>
        <v>97944</v>
      </c>
      <c r="AN19" s="78">
        <v>1645</v>
      </c>
      <c r="AO19" s="78">
        <v>7200</v>
      </c>
      <c r="AP19" s="78">
        <f t="shared" si="7"/>
        <v>226195.2</v>
      </c>
    </row>
    <row r="20" s="86" customFormat="1" ht="24.95" customHeight="1" spans="1:42">
      <c r="A20" s="99">
        <v>16</v>
      </c>
      <c r="B20" s="99" t="s">
        <v>320</v>
      </c>
      <c r="C20" s="100" t="s">
        <v>321</v>
      </c>
      <c r="D20" s="103" t="s">
        <v>322</v>
      </c>
      <c r="E20" s="101">
        <v>52437</v>
      </c>
      <c r="F20" s="99" t="s">
        <v>323</v>
      </c>
      <c r="G20" s="78">
        <v>9</v>
      </c>
      <c r="H20" s="102">
        <v>43188</v>
      </c>
      <c r="I20" s="100" t="s">
        <v>324</v>
      </c>
      <c r="J20" s="132">
        <v>70</v>
      </c>
      <c r="K20" s="132">
        <v>30</v>
      </c>
      <c r="L20" s="132">
        <v>580</v>
      </c>
      <c r="M20" s="132">
        <v>30</v>
      </c>
      <c r="N20" s="99">
        <v>7</v>
      </c>
      <c r="O20" s="78">
        <v>69000</v>
      </c>
      <c r="P20" s="78">
        <v>5897.44</v>
      </c>
      <c r="Q20" s="78">
        <f t="shared" si="0"/>
        <v>10378.65</v>
      </c>
      <c r="R20" s="78">
        <f t="shared" si="1"/>
        <v>6960</v>
      </c>
      <c r="S20" s="78">
        <f t="shared" si="9"/>
        <v>50400</v>
      </c>
      <c r="T20" s="78">
        <v>6472.8</v>
      </c>
      <c r="U20" s="78">
        <v>8548.45</v>
      </c>
      <c r="V20" s="78">
        <f t="shared" si="3"/>
        <v>34606.3872</v>
      </c>
      <c r="W20" s="78">
        <v>360</v>
      </c>
      <c r="X20" s="78">
        <v>680</v>
      </c>
      <c r="Y20" s="78">
        <f t="shared" si="4"/>
        <v>1484</v>
      </c>
      <c r="Z20" s="78">
        <v>3210</v>
      </c>
      <c r="AA20" s="78">
        <v>8000</v>
      </c>
      <c r="AB20" s="78">
        <v>960</v>
      </c>
      <c r="AC20" s="78">
        <v>40</v>
      </c>
      <c r="AD20" s="78">
        <f>360*12</f>
        <v>4320</v>
      </c>
      <c r="AE20" s="78">
        <f t="shared" si="5"/>
        <v>1200</v>
      </c>
      <c r="AF20" s="78">
        <f t="shared" si="8"/>
        <v>137620.2872</v>
      </c>
      <c r="AG20" s="78">
        <f>(G20-1)*AK20*11*通江农村客运车辆成本信息核定表!$H$8</f>
        <v>2365.44</v>
      </c>
      <c r="AH20" s="100" t="s">
        <v>324</v>
      </c>
      <c r="AI20" s="78">
        <v>70</v>
      </c>
      <c r="AJ20" s="78">
        <v>30</v>
      </c>
      <c r="AK20" s="78">
        <f>28*2*1</f>
        <v>56</v>
      </c>
      <c r="AL20" s="78">
        <v>28</v>
      </c>
      <c r="AM20" s="78">
        <f t="shared" si="6"/>
        <v>43120</v>
      </c>
      <c r="AN20" s="78">
        <v>1645</v>
      </c>
      <c r="AO20" s="78">
        <v>7200</v>
      </c>
      <c r="AP20" s="78">
        <f t="shared" si="7"/>
        <v>70963.2</v>
      </c>
    </row>
    <row r="21" s="86" customFormat="1" ht="24.95" customHeight="1" spans="1:42">
      <c r="A21" s="99">
        <v>17</v>
      </c>
      <c r="B21" s="99" t="s">
        <v>325</v>
      </c>
      <c r="C21" s="100" t="s">
        <v>269</v>
      </c>
      <c r="D21" s="103" t="s">
        <v>326</v>
      </c>
      <c r="E21" s="101" t="s">
        <v>327</v>
      </c>
      <c r="F21" s="99" t="s">
        <v>328</v>
      </c>
      <c r="G21" s="78">
        <v>17</v>
      </c>
      <c r="H21" s="102">
        <v>43979</v>
      </c>
      <c r="I21" s="100" t="s">
        <v>329</v>
      </c>
      <c r="J21" s="132">
        <v>67</v>
      </c>
      <c r="K21" s="132">
        <v>30</v>
      </c>
      <c r="L21" s="132">
        <v>740</v>
      </c>
      <c r="M21" s="132">
        <v>30</v>
      </c>
      <c r="N21" s="99">
        <v>7</v>
      </c>
      <c r="O21" s="78">
        <v>178000</v>
      </c>
      <c r="P21" s="78">
        <v>15752.21</v>
      </c>
      <c r="Q21" s="78">
        <f t="shared" si="0"/>
        <v>26848.52</v>
      </c>
      <c r="R21" s="78">
        <f t="shared" si="1"/>
        <v>8880</v>
      </c>
      <c r="S21" s="78">
        <f t="shared" si="9"/>
        <v>50400</v>
      </c>
      <c r="T21" s="78">
        <v>6472.8</v>
      </c>
      <c r="U21" s="78">
        <v>17074.56</v>
      </c>
      <c r="V21" s="78">
        <f t="shared" si="3"/>
        <v>33123.25632</v>
      </c>
      <c r="W21" s="78">
        <v>360</v>
      </c>
      <c r="X21" s="78">
        <v>680</v>
      </c>
      <c r="Y21" s="78">
        <f t="shared" si="4"/>
        <v>1484</v>
      </c>
      <c r="Z21" s="78">
        <v>4000</v>
      </c>
      <c r="AA21" s="78">
        <v>10500</v>
      </c>
      <c r="AB21" s="78">
        <v>960</v>
      </c>
      <c r="AC21" s="78">
        <v>40</v>
      </c>
      <c r="AD21" s="78">
        <f>450*12</f>
        <v>5400</v>
      </c>
      <c r="AE21" s="78">
        <f t="shared" si="5"/>
        <v>1200</v>
      </c>
      <c r="AF21" s="78">
        <f t="shared" si="8"/>
        <v>167423.13632</v>
      </c>
      <c r="AG21" s="78">
        <f>(G21-1)*AK21*11*通江农村客运车辆成本信息核定表!$H$8</f>
        <v>4730.88</v>
      </c>
      <c r="AH21" s="100" t="s">
        <v>329</v>
      </c>
      <c r="AI21" s="78">
        <v>67</v>
      </c>
      <c r="AJ21" s="78">
        <v>30</v>
      </c>
      <c r="AK21" s="78">
        <f>28*2*1</f>
        <v>56</v>
      </c>
      <c r="AL21" s="78">
        <v>28</v>
      </c>
      <c r="AM21" s="78">
        <f t="shared" si="6"/>
        <v>41272</v>
      </c>
      <c r="AN21" s="78">
        <v>1645</v>
      </c>
      <c r="AO21" s="78">
        <v>7200</v>
      </c>
      <c r="AP21" s="78">
        <f t="shared" si="7"/>
        <v>141926.4</v>
      </c>
    </row>
    <row r="22" s="86" customFormat="1" ht="24.95" customHeight="1" spans="1:42">
      <c r="A22" s="99">
        <v>18</v>
      </c>
      <c r="B22" s="99" t="s">
        <v>335</v>
      </c>
      <c r="C22" s="100" t="s">
        <v>336</v>
      </c>
      <c r="D22" s="103" t="s">
        <v>337</v>
      </c>
      <c r="E22" s="101" t="s">
        <v>338</v>
      </c>
      <c r="F22" s="99" t="s">
        <v>339</v>
      </c>
      <c r="G22" s="78">
        <v>17</v>
      </c>
      <c r="H22" s="102">
        <v>42489</v>
      </c>
      <c r="I22" s="100" t="s">
        <v>340</v>
      </c>
      <c r="J22" s="132">
        <v>70</v>
      </c>
      <c r="K22" s="132">
        <v>30</v>
      </c>
      <c r="L22" s="132">
        <v>740</v>
      </c>
      <c r="M22" s="132">
        <v>30</v>
      </c>
      <c r="N22" s="99">
        <v>7</v>
      </c>
      <c r="O22" s="78">
        <v>164500</v>
      </c>
      <c r="P22" s="78">
        <v>14059.83</v>
      </c>
      <c r="Q22" s="78">
        <f t="shared" si="0"/>
        <v>24743.29</v>
      </c>
      <c r="R22" s="78">
        <f t="shared" si="1"/>
        <v>8880</v>
      </c>
      <c r="S22" s="78">
        <f t="shared" si="9"/>
        <v>50400</v>
      </c>
      <c r="T22" s="78">
        <v>6472.8</v>
      </c>
      <c r="U22" s="78">
        <v>14383.2</v>
      </c>
      <c r="V22" s="78">
        <f t="shared" si="3"/>
        <v>34606.3872</v>
      </c>
      <c r="W22" s="78">
        <v>360</v>
      </c>
      <c r="X22" s="78">
        <v>680</v>
      </c>
      <c r="Y22" s="78">
        <f t="shared" si="4"/>
        <v>1484</v>
      </c>
      <c r="Z22" s="78">
        <v>4000</v>
      </c>
      <c r="AA22" s="78">
        <v>10500</v>
      </c>
      <c r="AB22" s="78">
        <v>960</v>
      </c>
      <c r="AC22" s="78">
        <v>40</v>
      </c>
      <c r="AD22" s="78">
        <f>450*12</f>
        <v>5400</v>
      </c>
      <c r="AE22" s="78">
        <f t="shared" si="5"/>
        <v>1200</v>
      </c>
      <c r="AF22" s="78">
        <f t="shared" si="8"/>
        <v>164109.6772</v>
      </c>
      <c r="AG22" s="78">
        <f>(G22-1)*AK22*11*通江农村客运车辆成本信息核定表!$H$8</f>
        <v>4730.88</v>
      </c>
      <c r="AH22" s="100" t="s">
        <v>340</v>
      </c>
      <c r="AI22" s="78">
        <v>70</v>
      </c>
      <c r="AJ22" s="78">
        <v>30</v>
      </c>
      <c r="AK22" s="78">
        <f>28*2*1</f>
        <v>56</v>
      </c>
      <c r="AL22" s="78">
        <v>28</v>
      </c>
      <c r="AM22" s="78">
        <f t="shared" si="6"/>
        <v>43120</v>
      </c>
      <c r="AN22" s="78">
        <v>1645</v>
      </c>
      <c r="AO22" s="78">
        <v>7200</v>
      </c>
      <c r="AP22" s="78">
        <f t="shared" si="7"/>
        <v>141926.4</v>
      </c>
    </row>
    <row r="23" s="86" customFormat="1" ht="24.95" customHeight="1" spans="1:42">
      <c r="A23" s="99">
        <v>19</v>
      </c>
      <c r="B23" s="99" t="s">
        <v>346</v>
      </c>
      <c r="C23" s="100" t="s">
        <v>347</v>
      </c>
      <c r="D23" s="103" t="s">
        <v>348</v>
      </c>
      <c r="E23" s="101" t="s">
        <v>349</v>
      </c>
      <c r="F23" s="99" t="s">
        <v>350</v>
      </c>
      <c r="G23" s="78">
        <v>7</v>
      </c>
      <c r="H23" s="102">
        <v>43923</v>
      </c>
      <c r="I23" s="100" t="s">
        <v>351</v>
      </c>
      <c r="J23" s="132">
        <v>15</v>
      </c>
      <c r="K23" s="132">
        <v>7</v>
      </c>
      <c r="L23" s="132">
        <v>420</v>
      </c>
      <c r="M23" s="132">
        <v>7</v>
      </c>
      <c r="N23" s="99">
        <v>7</v>
      </c>
      <c r="O23" s="78">
        <v>5000</v>
      </c>
      <c r="P23" s="78"/>
      <c r="Q23" s="78">
        <f t="shared" si="0"/>
        <v>692.86</v>
      </c>
      <c r="R23" s="78">
        <f t="shared" si="1"/>
        <v>5040</v>
      </c>
      <c r="S23" s="78">
        <f t="shared" si="9"/>
        <v>50400</v>
      </c>
      <c r="T23" s="78">
        <v>6472.8</v>
      </c>
      <c r="U23" s="78">
        <v>8829</v>
      </c>
      <c r="V23" s="78">
        <f t="shared" si="3"/>
        <v>22246.9632</v>
      </c>
      <c r="W23" s="78">
        <v>360</v>
      </c>
      <c r="X23" s="78">
        <v>680</v>
      </c>
      <c r="Y23" s="78">
        <f t="shared" si="4"/>
        <v>1484</v>
      </c>
      <c r="Z23" s="78">
        <v>3210</v>
      </c>
      <c r="AA23" s="78">
        <v>8000</v>
      </c>
      <c r="AB23" s="78">
        <v>960</v>
      </c>
      <c r="AC23" s="78">
        <v>40</v>
      </c>
      <c r="AD23" s="78">
        <f t="shared" ref="AD23:AD29" si="10">360*12</f>
        <v>4320</v>
      </c>
      <c r="AE23" s="78">
        <f t="shared" si="5"/>
        <v>1200</v>
      </c>
      <c r="AF23" s="78">
        <f t="shared" si="8"/>
        <v>113935.6232</v>
      </c>
      <c r="AG23" s="78">
        <f>(G23-1)*AK23*11*通江农村客运车辆成本信息核定表!$H$8</f>
        <v>5322.24</v>
      </c>
      <c r="AH23" s="100" t="s">
        <v>351</v>
      </c>
      <c r="AI23" s="78">
        <v>15</v>
      </c>
      <c r="AJ23" s="78">
        <v>7</v>
      </c>
      <c r="AK23" s="78">
        <f>28*2*3</f>
        <v>168</v>
      </c>
      <c r="AL23" s="78">
        <v>28</v>
      </c>
      <c r="AM23" s="78">
        <f t="shared" si="6"/>
        <v>27720</v>
      </c>
      <c r="AN23" s="78"/>
      <c r="AO23" s="78"/>
      <c r="AP23" s="78">
        <f t="shared" si="7"/>
        <v>37255.68</v>
      </c>
    </row>
    <row r="24" s="86" customFormat="1" ht="24.95" customHeight="1" spans="1:42">
      <c r="A24" s="99">
        <v>20</v>
      </c>
      <c r="B24" s="99" t="s">
        <v>352</v>
      </c>
      <c r="C24" s="100" t="s">
        <v>347</v>
      </c>
      <c r="D24" s="103" t="s">
        <v>353</v>
      </c>
      <c r="E24" s="101" t="s">
        <v>354</v>
      </c>
      <c r="F24" s="99" t="s">
        <v>355</v>
      </c>
      <c r="G24" s="78">
        <v>7</v>
      </c>
      <c r="H24" s="102">
        <v>44057</v>
      </c>
      <c r="I24" s="100" t="s">
        <v>356</v>
      </c>
      <c r="J24" s="132">
        <v>40</v>
      </c>
      <c r="K24" s="132">
        <v>30</v>
      </c>
      <c r="L24" s="132">
        <v>420</v>
      </c>
      <c r="M24" s="132">
        <v>30</v>
      </c>
      <c r="N24" s="99">
        <v>7</v>
      </c>
      <c r="O24" s="78">
        <v>49000</v>
      </c>
      <c r="P24" s="78">
        <v>4336.28</v>
      </c>
      <c r="Q24" s="78">
        <f t="shared" si="0"/>
        <v>7390.88</v>
      </c>
      <c r="R24" s="78">
        <f t="shared" si="1"/>
        <v>5040</v>
      </c>
      <c r="S24" s="78">
        <f t="shared" si="9"/>
        <v>50400</v>
      </c>
      <c r="T24" s="78">
        <v>6472.8</v>
      </c>
      <c r="U24" s="78">
        <v>7026.29</v>
      </c>
      <c r="V24" s="78">
        <f t="shared" si="3"/>
        <v>19775.0784</v>
      </c>
      <c r="W24" s="78">
        <v>360</v>
      </c>
      <c r="X24" s="78">
        <v>680</v>
      </c>
      <c r="Y24" s="78">
        <f t="shared" si="4"/>
        <v>1484</v>
      </c>
      <c r="Z24" s="78">
        <v>3210</v>
      </c>
      <c r="AA24" s="78">
        <v>8000</v>
      </c>
      <c r="AB24" s="78">
        <v>960</v>
      </c>
      <c r="AC24" s="78">
        <v>40</v>
      </c>
      <c r="AD24" s="78">
        <f t="shared" si="10"/>
        <v>4320</v>
      </c>
      <c r="AE24" s="78">
        <f t="shared" si="5"/>
        <v>1200</v>
      </c>
      <c r="AF24" s="78">
        <f t="shared" si="8"/>
        <v>116359.0484</v>
      </c>
      <c r="AG24" s="78">
        <f>(G24-1)*AK24*11*通江农村客运车辆成本信息核定表!$H$8</f>
        <v>1774.08</v>
      </c>
      <c r="AH24" s="100" t="s">
        <v>356</v>
      </c>
      <c r="AI24" s="78">
        <v>40</v>
      </c>
      <c r="AJ24" s="78">
        <v>30</v>
      </c>
      <c r="AK24" s="78">
        <f>28*2*1</f>
        <v>56</v>
      </c>
      <c r="AL24" s="78">
        <v>28</v>
      </c>
      <c r="AM24" s="78">
        <f t="shared" si="6"/>
        <v>24640</v>
      </c>
      <c r="AN24" s="78"/>
      <c r="AO24" s="78"/>
      <c r="AP24" s="78">
        <f t="shared" si="7"/>
        <v>53222.4</v>
      </c>
    </row>
    <row r="25" s="86" customFormat="1" ht="24.95" customHeight="1" spans="1:42">
      <c r="A25" s="99">
        <v>21</v>
      </c>
      <c r="B25" s="125" t="s">
        <v>357</v>
      </c>
      <c r="C25" s="100" t="s">
        <v>347</v>
      </c>
      <c r="D25" s="103" t="s">
        <v>358</v>
      </c>
      <c r="E25" s="101">
        <v>19307326</v>
      </c>
      <c r="F25" s="99" t="s">
        <v>359</v>
      </c>
      <c r="G25" s="78">
        <v>7</v>
      </c>
      <c r="H25" s="102">
        <v>43986</v>
      </c>
      <c r="I25" s="100" t="s">
        <v>360</v>
      </c>
      <c r="J25" s="132">
        <v>15</v>
      </c>
      <c r="K25" s="132">
        <v>7</v>
      </c>
      <c r="L25" s="132">
        <v>420</v>
      </c>
      <c r="M25" s="132">
        <v>7</v>
      </c>
      <c r="N25" s="99">
        <v>7</v>
      </c>
      <c r="O25" s="78">
        <v>42000</v>
      </c>
      <c r="P25" s="78">
        <v>3716.81</v>
      </c>
      <c r="Q25" s="78">
        <f t="shared" si="0"/>
        <v>6335.04</v>
      </c>
      <c r="R25" s="78">
        <f t="shared" si="1"/>
        <v>5040</v>
      </c>
      <c r="S25" s="78">
        <f t="shared" si="9"/>
        <v>50400</v>
      </c>
      <c r="T25" s="78">
        <v>6472.8</v>
      </c>
      <c r="U25" s="78">
        <v>10146.11</v>
      </c>
      <c r="V25" s="78">
        <f t="shared" si="3"/>
        <v>22246.9632</v>
      </c>
      <c r="W25" s="78">
        <v>360</v>
      </c>
      <c r="X25" s="78">
        <v>680</v>
      </c>
      <c r="Y25" s="78">
        <f t="shared" si="4"/>
        <v>1484</v>
      </c>
      <c r="Z25" s="78">
        <v>3210</v>
      </c>
      <c r="AA25" s="78">
        <v>8000</v>
      </c>
      <c r="AB25" s="78">
        <v>960</v>
      </c>
      <c r="AC25" s="78">
        <v>40</v>
      </c>
      <c r="AD25" s="78">
        <f t="shared" si="10"/>
        <v>4320</v>
      </c>
      <c r="AE25" s="78">
        <f t="shared" si="5"/>
        <v>1200</v>
      </c>
      <c r="AF25" s="78">
        <f t="shared" si="8"/>
        <v>120894.9132</v>
      </c>
      <c r="AG25" s="78">
        <f>(G25-1)*AK25*11*通江农村客运车辆成本信息核定表!$H$8</f>
        <v>5322.24</v>
      </c>
      <c r="AH25" s="100" t="s">
        <v>360</v>
      </c>
      <c r="AI25" s="78">
        <v>15</v>
      </c>
      <c r="AJ25" s="78">
        <v>7</v>
      </c>
      <c r="AK25" s="78">
        <f>28*2*3</f>
        <v>168</v>
      </c>
      <c r="AL25" s="78">
        <v>28</v>
      </c>
      <c r="AM25" s="78">
        <f t="shared" si="6"/>
        <v>27720</v>
      </c>
      <c r="AN25" s="78"/>
      <c r="AO25" s="78"/>
      <c r="AP25" s="78">
        <f t="shared" si="7"/>
        <v>37255.68</v>
      </c>
    </row>
    <row r="26" s="86" customFormat="1" ht="24.95" customHeight="1" spans="1:42">
      <c r="A26" s="99">
        <v>22</v>
      </c>
      <c r="B26" s="99" t="s">
        <v>361</v>
      </c>
      <c r="C26" s="100" t="s">
        <v>347</v>
      </c>
      <c r="D26" s="103" t="s">
        <v>362</v>
      </c>
      <c r="E26" s="101" t="s">
        <v>363</v>
      </c>
      <c r="F26" s="99" t="s">
        <v>364</v>
      </c>
      <c r="G26" s="78">
        <v>8</v>
      </c>
      <c r="H26" s="102">
        <v>42831</v>
      </c>
      <c r="I26" s="100" t="s">
        <v>365</v>
      </c>
      <c r="J26" s="132">
        <v>40</v>
      </c>
      <c r="K26" s="132">
        <v>20</v>
      </c>
      <c r="L26" s="132">
        <v>420</v>
      </c>
      <c r="M26" s="132">
        <v>20</v>
      </c>
      <c r="N26" s="99">
        <v>7</v>
      </c>
      <c r="O26" s="78">
        <v>40800</v>
      </c>
      <c r="P26" s="78">
        <v>3487.18</v>
      </c>
      <c r="Q26" s="78">
        <f t="shared" si="0"/>
        <v>6136.94</v>
      </c>
      <c r="R26" s="78">
        <f t="shared" si="1"/>
        <v>5040</v>
      </c>
      <c r="S26" s="78">
        <f t="shared" ref="S26:S36" si="11">4200*12</f>
        <v>50400</v>
      </c>
      <c r="T26" s="78">
        <v>6472.8</v>
      </c>
      <c r="U26" s="78">
        <v>1945</v>
      </c>
      <c r="V26" s="78">
        <f t="shared" si="3"/>
        <v>39550.1568</v>
      </c>
      <c r="W26" s="78">
        <v>360</v>
      </c>
      <c r="X26" s="78">
        <v>680</v>
      </c>
      <c r="Y26" s="78">
        <f t="shared" si="4"/>
        <v>1484</v>
      </c>
      <c r="Z26" s="78">
        <v>3210</v>
      </c>
      <c r="AA26" s="78">
        <v>8000</v>
      </c>
      <c r="AB26" s="78">
        <v>960</v>
      </c>
      <c r="AC26" s="78">
        <v>40</v>
      </c>
      <c r="AD26" s="78">
        <f t="shared" si="10"/>
        <v>4320</v>
      </c>
      <c r="AE26" s="78">
        <f t="shared" si="5"/>
        <v>1200</v>
      </c>
      <c r="AF26" s="78">
        <f t="shared" si="8"/>
        <v>129798.8968</v>
      </c>
      <c r="AG26" s="78">
        <f>(G26-1)*AK26*11*通江农村客运车辆成本信息核定表!$H$8</f>
        <v>4139.52</v>
      </c>
      <c r="AH26" s="100" t="s">
        <v>365</v>
      </c>
      <c r="AI26" s="78">
        <v>40</v>
      </c>
      <c r="AJ26" s="78">
        <v>20</v>
      </c>
      <c r="AK26" s="78">
        <f t="shared" ref="AK26:AK28" si="12">28*2*2</f>
        <v>112</v>
      </c>
      <c r="AL26" s="78">
        <v>28</v>
      </c>
      <c r="AM26" s="78">
        <f t="shared" si="6"/>
        <v>49280</v>
      </c>
      <c r="AN26" s="78"/>
      <c r="AO26" s="78"/>
      <c r="AP26" s="78">
        <f t="shared" si="7"/>
        <v>82790.4</v>
      </c>
    </row>
    <row r="27" s="86" customFormat="1" ht="24.95" customHeight="1" spans="1:42">
      <c r="A27" s="99">
        <v>23</v>
      </c>
      <c r="B27" s="99" t="s">
        <v>366</v>
      </c>
      <c r="C27" s="100" t="s">
        <v>347</v>
      </c>
      <c r="D27" s="103" t="s">
        <v>367</v>
      </c>
      <c r="E27" s="101">
        <v>192844506</v>
      </c>
      <c r="F27" s="99" t="s">
        <v>368</v>
      </c>
      <c r="G27" s="78">
        <v>7</v>
      </c>
      <c r="H27" s="102">
        <v>43986</v>
      </c>
      <c r="I27" s="133" t="s">
        <v>369</v>
      </c>
      <c r="J27" s="132">
        <v>16</v>
      </c>
      <c r="K27" s="132">
        <v>12</v>
      </c>
      <c r="L27" s="132">
        <v>420</v>
      </c>
      <c r="M27" s="132">
        <v>12</v>
      </c>
      <c r="N27" s="99">
        <v>7</v>
      </c>
      <c r="O27" s="78">
        <v>30000</v>
      </c>
      <c r="P27" s="78"/>
      <c r="Q27" s="78">
        <f t="shared" si="0"/>
        <v>4157.14</v>
      </c>
      <c r="R27" s="78">
        <f t="shared" si="1"/>
        <v>5040</v>
      </c>
      <c r="S27" s="78">
        <f t="shared" si="11"/>
        <v>50400</v>
      </c>
      <c r="T27" s="78">
        <v>6472.8</v>
      </c>
      <c r="U27" s="78">
        <v>7012.2</v>
      </c>
      <c r="V27" s="78">
        <f t="shared" si="3"/>
        <v>15820.06272</v>
      </c>
      <c r="W27" s="78">
        <v>360</v>
      </c>
      <c r="X27" s="78">
        <v>680</v>
      </c>
      <c r="Y27" s="78">
        <f t="shared" si="4"/>
        <v>1484</v>
      </c>
      <c r="Z27" s="78">
        <v>3210</v>
      </c>
      <c r="AA27" s="78">
        <v>8000</v>
      </c>
      <c r="AB27" s="78">
        <v>960</v>
      </c>
      <c r="AC27" s="78">
        <v>40</v>
      </c>
      <c r="AD27" s="78">
        <f t="shared" si="10"/>
        <v>4320</v>
      </c>
      <c r="AE27" s="78">
        <f t="shared" si="5"/>
        <v>1200</v>
      </c>
      <c r="AF27" s="78">
        <f t="shared" si="8"/>
        <v>109156.20272</v>
      </c>
      <c r="AG27" s="78">
        <f>(G27-1)*AK27*11*通江农村客运车辆成本信息核定表!$H$8</f>
        <v>3548.16</v>
      </c>
      <c r="AH27" s="100" t="s">
        <v>369</v>
      </c>
      <c r="AI27" s="78">
        <v>16</v>
      </c>
      <c r="AJ27" s="78">
        <v>12</v>
      </c>
      <c r="AK27" s="78">
        <f t="shared" si="12"/>
        <v>112</v>
      </c>
      <c r="AL27" s="78">
        <v>28</v>
      </c>
      <c r="AM27" s="78">
        <f t="shared" si="6"/>
        <v>19712</v>
      </c>
      <c r="AN27" s="78"/>
      <c r="AO27" s="78"/>
      <c r="AP27" s="78">
        <f t="shared" si="7"/>
        <v>42577.92</v>
      </c>
    </row>
    <row r="28" s="86" customFormat="1" ht="24.95" customHeight="1" spans="1:42">
      <c r="A28" s="99">
        <v>24</v>
      </c>
      <c r="B28" s="99" t="s">
        <v>370</v>
      </c>
      <c r="C28" s="100" t="s">
        <v>347</v>
      </c>
      <c r="D28" s="103" t="s">
        <v>371</v>
      </c>
      <c r="E28" s="103" t="s">
        <v>372</v>
      </c>
      <c r="F28" s="104" t="s">
        <v>373</v>
      </c>
      <c r="G28" s="78">
        <v>8</v>
      </c>
      <c r="H28" s="102">
        <v>42801</v>
      </c>
      <c r="I28" s="100" t="s">
        <v>374</v>
      </c>
      <c r="J28" s="132">
        <v>16</v>
      </c>
      <c r="K28" s="132">
        <v>11</v>
      </c>
      <c r="L28" s="132">
        <v>420</v>
      </c>
      <c r="M28" s="132">
        <v>11</v>
      </c>
      <c r="N28" s="99">
        <v>7</v>
      </c>
      <c r="O28" s="78">
        <f>17863.2+17863.2*0.13</f>
        <v>20185.416</v>
      </c>
      <c r="P28" s="78">
        <v>1786.32</v>
      </c>
      <c r="Q28" s="78">
        <f t="shared" si="0"/>
        <v>3044.65</v>
      </c>
      <c r="R28" s="78">
        <f t="shared" si="1"/>
        <v>5040</v>
      </c>
      <c r="S28" s="78">
        <f t="shared" si="11"/>
        <v>50400</v>
      </c>
      <c r="T28" s="78">
        <v>6472.8</v>
      </c>
      <c r="U28" s="78">
        <v>7012.2</v>
      </c>
      <c r="V28" s="78">
        <f t="shared" si="3"/>
        <v>15820.06272</v>
      </c>
      <c r="W28" s="78">
        <v>360</v>
      </c>
      <c r="X28" s="78">
        <v>680</v>
      </c>
      <c r="Y28" s="78">
        <f t="shared" si="4"/>
        <v>1484</v>
      </c>
      <c r="Z28" s="78">
        <v>3210</v>
      </c>
      <c r="AA28" s="78">
        <v>8000</v>
      </c>
      <c r="AB28" s="78">
        <v>960</v>
      </c>
      <c r="AC28" s="78">
        <v>40</v>
      </c>
      <c r="AD28" s="78">
        <f t="shared" si="10"/>
        <v>4320</v>
      </c>
      <c r="AE28" s="78">
        <f t="shared" si="5"/>
        <v>1200</v>
      </c>
      <c r="AF28" s="78">
        <f t="shared" si="8"/>
        <v>108043.71272</v>
      </c>
      <c r="AG28" s="78">
        <f>(G28-1)*AK28*11*通江农村客运车辆成本信息核定表!$H$8</f>
        <v>4139.52</v>
      </c>
      <c r="AH28" s="100" t="s">
        <v>374</v>
      </c>
      <c r="AI28" s="78">
        <v>16</v>
      </c>
      <c r="AJ28" s="78">
        <v>11</v>
      </c>
      <c r="AK28" s="78">
        <f t="shared" si="12"/>
        <v>112</v>
      </c>
      <c r="AL28" s="78">
        <v>28</v>
      </c>
      <c r="AM28" s="78">
        <f t="shared" si="6"/>
        <v>19712</v>
      </c>
      <c r="AN28" s="78"/>
      <c r="AO28" s="78"/>
      <c r="AP28" s="78">
        <f t="shared" si="7"/>
        <v>45534.72</v>
      </c>
    </row>
    <row r="29" s="86" customFormat="1" ht="24.95" customHeight="1" spans="1:42">
      <c r="A29" s="99">
        <v>25</v>
      </c>
      <c r="B29" s="99" t="s">
        <v>375</v>
      </c>
      <c r="C29" s="100" t="s">
        <v>347</v>
      </c>
      <c r="D29" s="103" t="s">
        <v>376</v>
      </c>
      <c r="E29" s="103" t="s">
        <v>377</v>
      </c>
      <c r="F29" s="104" t="s">
        <v>378</v>
      </c>
      <c r="G29" s="78">
        <v>8</v>
      </c>
      <c r="H29" s="102">
        <v>44015</v>
      </c>
      <c r="I29" s="100" t="s">
        <v>379</v>
      </c>
      <c r="J29" s="132">
        <v>18</v>
      </c>
      <c r="K29" s="132">
        <v>5</v>
      </c>
      <c r="L29" s="132">
        <v>420</v>
      </c>
      <c r="M29" s="132">
        <v>5</v>
      </c>
      <c r="N29" s="99">
        <v>7</v>
      </c>
      <c r="O29" s="78">
        <v>68000</v>
      </c>
      <c r="P29" s="78">
        <v>6017.7</v>
      </c>
      <c r="Q29" s="78">
        <f t="shared" si="0"/>
        <v>10256.74</v>
      </c>
      <c r="R29" s="78">
        <f t="shared" si="1"/>
        <v>5040</v>
      </c>
      <c r="S29" s="78">
        <f t="shared" si="11"/>
        <v>50400</v>
      </c>
      <c r="T29" s="78">
        <v>6472.8</v>
      </c>
      <c r="U29" s="78">
        <v>7012.2</v>
      </c>
      <c r="V29" s="78">
        <f t="shared" si="3"/>
        <v>26696.35584</v>
      </c>
      <c r="W29" s="78">
        <v>360</v>
      </c>
      <c r="X29" s="78">
        <v>680</v>
      </c>
      <c r="Y29" s="78">
        <f t="shared" si="4"/>
        <v>1484</v>
      </c>
      <c r="Z29" s="78">
        <v>3210</v>
      </c>
      <c r="AA29" s="78">
        <v>8000</v>
      </c>
      <c r="AB29" s="78">
        <v>960</v>
      </c>
      <c r="AC29" s="78">
        <v>40</v>
      </c>
      <c r="AD29" s="78">
        <f t="shared" si="10"/>
        <v>4320</v>
      </c>
      <c r="AE29" s="78">
        <f t="shared" si="5"/>
        <v>1200</v>
      </c>
      <c r="AF29" s="78">
        <f t="shared" si="8"/>
        <v>126132.09584</v>
      </c>
      <c r="AG29" s="78">
        <f>(G29-1)*AK29*11*通江农村客运车辆成本信息核定表!$H$8</f>
        <v>6209.28</v>
      </c>
      <c r="AH29" s="100" t="s">
        <v>379</v>
      </c>
      <c r="AI29" s="78">
        <v>18</v>
      </c>
      <c r="AJ29" s="78">
        <v>5</v>
      </c>
      <c r="AK29" s="78">
        <f>28*2*3</f>
        <v>168</v>
      </c>
      <c r="AL29" s="78">
        <v>28</v>
      </c>
      <c r="AM29" s="78">
        <f t="shared" si="6"/>
        <v>33264</v>
      </c>
      <c r="AN29" s="78"/>
      <c r="AO29" s="78"/>
      <c r="AP29" s="78">
        <f t="shared" si="7"/>
        <v>31046.4</v>
      </c>
    </row>
    <row r="30" s="86" customFormat="1" ht="24.95" customHeight="1" spans="1:42">
      <c r="A30" s="99">
        <v>26</v>
      </c>
      <c r="B30" s="99" t="s">
        <v>380</v>
      </c>
      <c r="C30" s="100" t="s">
        <v>336</v>
      </c>
      <c r="D30" s="103" t="s">
        <v>337</v>
      </c>
      <c r="E30" s="103" t="s">
        <v>381</v>
      </c>
      <c r="F30" s="104" t="s">
        <v>382</v>
      </c>
      <c r="G30" s="78">
        <v>16</v>
      </c>
      <c r="H30" s="102">
        <v>42466</v>
      </c>
      <c r="I30" s="100" t="s">
        <v>383</v>
      </c>
      <c r="J30" s="132">
        <v>170</v>
      </c>
      <c r="K30" s="132">
        <v>58</v>
      </c>
      <c r="L30" s="132">
        <v>740</v>
      </c>
      <c r="M30" s="132">
        <v>58</v>
      </c>
      <c r="N30" s="99">
        <v>7</v>
      </c>
      <c r="O30" s="78">
        <f>141880.3+18444.44</f>
        <v>160324.74</v>
      </c>
      <c r="P30" s="78">
        <v>14188.03</v>
      </c>
      <c r="Q30" s="78">
        <f t="shared" si="0"/>
        <v>24182.48</v>
      </c>
      <c r="R30" s="78">
        <f t="shared" si="1"/>
        <v>8880</v>
      </c>
      <c r="S30" s="78">
        <f t="shared" si="11"/>
        <v>50400</v>
      </c>
      <c r="T30" s="78">
        <v>6472.8</v>
      </c>
      <c r="U30" s="78">
        <v>12551.07</v>
      </c>
      <c r="V30" s="78">
        <f t="shared" si="3"/>
        <v>84044.0832</v>
      </c>
      <c r="W30" s="78">
        <v>360</v>
      </c>
      <c r="X30" s="78">
        <v>680</v>
      </c>
      <c r="Y30" s="78">
        <f t="shared" si="4"/>
        <v>1484</v>
      </c>
      <c r="Z30" s="78">
        <v>4000</v>
      </c>
      <c r="AA30" s="78">
        <v>10500</v>
      </c>
      <c r="AB30" s="78">
        <v>960</v>
      </c>
      <c r="AC30" s="78">
        <v>40</v>
      </c>
      <c r="AD30" s="78">
        <f>450*12</f>
        <v>5400</v>
      </c>
      <c r="AE30" s="78">
        <f t="shared" si="5"/>
        <v>1200</v>
      </c>
      <c r="AF30" s="78">
        <f t="shared" si="8"/>
        <v>211154.4332</v>
      </c>
      <c r="AG30" s="78">
        <f>(G30-1)*AK30*11*通江农村客运车辆成本信息核定表!$H$8</f>
        <v>4435.2</v>
      </c>
      <c r="AH30" s="100" t="s">
        <v>383</v>
      </c>
      <c r="AI30" s="78">
        <v>170</v>
      </c>
      <c r="AJ30" s="78">
        <v>58</v>
      </c>
      <c r="AK30" s="78">
        <f>28*2*1</f>
        <v>56</v>
      </c>
      <c r="AL30" s="78">
        <v>28</v>
      </c>
      <c r="AM30" s="78">
        <f t="shared" si="6"/>
        <v>104720</v>
      </c>
      <c r="AN30" s="78"/>
      <c r="AO30" s="78"/>
      <c r="AP30" s="78">
        <f t="shared" si="7"/>
        <v>257241.6</v>
      </c>
    </row>
    <row r="31" s="86" customFormat="1" ht="24.95" customHeight="1" spans="1:42">
      <c r="A31" s="99">
        <v>27</v>
      </c>
      <c r="B31" s="99" t="s">
        <v>384</v>
      </c>
      <c r="C31" s="100" t="s">
        <v>347</v>
      </c>
      <c r="D31" s="103" t="s">
        <v>385</v>
      </c>
      <c r="E31" s="103" t="s">
        <v>386</v>
      </c>
      <c r="F31" s="104" t="s">
        <v>387</v>
      </c>
      <c r="G31" s="78">
        <v>9</v>
      </c>
      <c r="H31" s="102">
        <v>44113</v>
      </c>
      <c r="I31" s="100" t="s">
        <v>388</v>
      </c>
      <c r="J31" s="132">
        <v>108</v>
      </c>
      <c r="K31" s="132">
        <v>45</v>
      </c>
      <c r="L31" s="132">
        <v>580</v>
      </c>
      <c r="M31" s="132">
        <v>45</v>
      </c>
      <c r="N31" s="99">
        <v>7</v>
      </c>
      <c r="O31" s="78">
        <v>135000</v>
      </c>
      <c r="P31" s="78">
        <v>11946.9</v>
      </c>
      <c r="Q31" s="78">
        <f t="shared" si="0"/>
        <v>20362.64</v>
      </c>
      <c r="R31" s="78">
        <f t="shared" si="1"/>
        <v>6960</v>
      </c>
      <c r="S31" s="78">
        <f t="shared" si="11"/>
        <v>50400</v>
      </c>
      <c r="T31" s="78">
        <v>6472.8</v>
      </c>
      <c r="U31" s="78">
        <v>9211.68</v>
      </c>
      <c r="V31" s="78">
        <f t="shared" si="3"/>
        <v>53392.71168</v>
      </c>
      <c r="W31" s="78">
        <v>360</v>
      </c>
      <c r="X31" s="78">
        <v>680</v>
      </c>
      <c r="Y31" s="78">
        <f t="shared" si="4"/>
        <v>1484</v>
      </c>
      <c r="Z31" s="78">
        <v>3210</v>
      </c>
      <c r="AA31" s="78">
        <v>8000</v>
      </c>
      <c r="AB31" s="78">
        <v>960</v>
      </c>
      <c r="AC31" s="78">
        <v>40</v>
      </c>
      <c r="AD31" s="78">
        <f>360*12</f>
        <v>4320</v>
      </c>
      <c r="AE31" s="78">
        <f t="shared" si="5"/>
        <v>1200</v>
      </c>
      <c r="AF31" s="78">
        <f t="shared" si="8"/>
        <v>167053.83168</v>
      </c>
      <c r="AG31" s="78">
        <f>(G31-1)*AK31*11*通江农村客运车辆成本信息核定表!$H$8</f>
        <v>2365.44</v>
      </c>
      <c r="AH31" s="100" t="s">
        <v>388</v>
      </c>
      <c r="AI31" s="78">
        <v>108</v>
      </c>
      <c r="AJ31" s="78">
        <v>45</v>
      </c>
      <c r="AK31" s="78">
        <f t="shared" ref="AK31:AK36" si="13">28*2*1</f>
        <v>56</v>
      </c>
      <c r="AL31" s="78">
        <v>28</v>
      </c>
      <c r="AM31" s="78">
        <f t="shared" si="6"/>
        <v>66528</v>
      </c>
      <c r="AN31" s="78"/>
      <c r="AO31" s="78"/>
      <c r="AP31" s="78">
        <f t="shared" si="7"/>
        <v>106444.8</v>
      </c>
    </row>
    <row r="32" s="86" customFormat="1" ht="24.95" customHeight="1" spans="1:42">
      <c r="A32" s="99">
        <v>28</v>
      </c>
      <c r="B32" s="99" t="s">
        <v>394</v>
      </c>
      <c r="C32" s="100" t="s">
        <v>347</v>
      </c>
      <c r="D32" s="103" t="s">
        <v>395</v>
      </c>
      <c r="E32" s="103" t="s">
        <v>396</v>
      </c>
      <c r="F32" s="104" t="s">
        <v>397</v>
      </c>
      <c r="G32" s="78">
        <v>14</v>
      </c>
      <c r="H32" s="102">
        <v>44183</v>
      </c>
      <c r="I32" s="100" t="s">
        <v>398</v>
      </c>
      <c r="J32" s="132">
        <v>80</v>
      </c>
      <c r="K32" s="132">
        <v>30</v>
      </c>
      <c r="L32" s="132">
        <v>700</v>
      </c>
      <c r="M32" s="132">
        <v>30</v>
      </c>
      <c r="N32" s="99">
        <v>7</v>
      </c>
      <c r="O32" s="78">
        <v>130700</v>
      </c>
      <c r="P32" s="78">
        <v>11566.37</v>
      </c>
      <c r="Q32" s="78">
        <f t="shared" si="0"/>
        <v>19714.05</v>
      </c>
      <c r="R32" s="78">
        <f t="shared" si="1"/>
        <v>8400</v>
      </c>
      <c r="S32" s="78">
        <f t="shared" si="11"/>
        <v>50400</v>
      </c>
      <c r="T32" s="78">
        <v>6472.8</v>
      </c>
      <c r="U32" s="78">
        <v>11021.23</v>
      </c>
      <c r="V32" s="78">
        <f t="shared" si="3"/>
        <v>39550.1568</v>
      </c>
      <c r="W32" s="78">
        <v>360</v>
      </c>
      <c r="X32" s="78">
        <v>680</v>
      </c>
      <c r="Y32" s="78">
        <f t="shared" si="4"/>
        <v>1484</v>
      </c>
      <c r="Z32" s="78">
        <v>3500</v>
      </c>
      <c r="AA32" s="78">
        <v>8500</v>
      </c>
      <c r="AB32" s="78">
        <v>960</v>
      </c>
      <c r="AC32" s="78">
        <v>40</v>
      </c>
      <c r="AD32" s="78">
        <f>450*12</f>
        <v>5400</v>
      </c>
      <c r="AE32" s="78">
        <f t="shared" si="5"/>
        <v>1200</v>
      </c>
      <c r="AF32" s="78">
        <f t="shared" si="8"/>
        <v>157682.2368</v>
      </c>
      <c r="AG32" s="78">
        <f>(G32-1)*AK32*11*通江农村客运车辆成本信息核定表!$H$8</f>
        <v>3843.84</v>
      </c>
      <c r="AH32" s="100" t="s">
        <v>398</v>
      </c>
      <c r="AI32" s="78">
        <v>80</v>
      </c>
      <c r="AJ32" s="78">
        <v>30</v>
      </c>
      <c r="AK32" s="78">
        <f t="shared" si="13"/>
        <v>56</v>
      </c>
      <c r="AL32" s="78">
        <v>28</v>
      </c>
      <c r="AM32" s="78">
        <f t="shared" si="6"/>
        <v>49280</v>
      </c>
      <c r="AN32" s="78"/>
      <c r="AO32" s="78"/>
      <c r="AP32" s="78">
        <f t="shared" si="7"/>
        <v>115315.2</v>
      </c>
    </row>
    <row r="33" s="86" customFormat="1" ht="24.95" customHeight="1" spans="1:42">
      <c r="A33" s="99">
        <v>29</v>
      </c>
      <c r="B33" s="99" t="s">
        <v>399</v>
      </c>
      <c r="C33" s="100" t="s">
        <v>347</v>
      </c>
      <c r="D33" s="103" t="s">
        <v>400</v>
      </c>
      <c r="E33" s="103" t="s">
        <v>401</v>
      </c>
      <c r="F33" s="104" t="s">
        <v>402</v>
      </c>
      <c r="G33" s="78">
        <v>9</v>
      </c>
      <c r="H33" s="102">
        <v>43230</v>
      </c>
      <c r="I33" s="100" t="s">
        <v>403</v>
      </c>
      <c r="J33" s="132">
        <v>65</v>
      </c>
      <c r="K33" s="132">
        <v>25</v>
      </c>
      <c r="L33" s="132">
        <v>580</v>
      </c>
      <c r="M33" s="132">
        <v>25</v>
      </c>
      <c r="N33" s="99">
        <v>7</v>
      </c>
      <c r="O33" s="78">
        <v>74900</v>
      </c>
      <c r="P33" s="78">
        <v>6401.71</v>
      </c>
      <c r="Q33" s="78">
        <f t="shared" si="0"/>
        <v>11266.09</v>
      </c>
      <c r="R33" s="78">
        <f t="shared" si="1"/>
        <v>6960</v>
      </c>
      <c r="S33" s="78">
        <f t="shared" si="11"/>
        <v>50400</v>
      </c>
      <c r="T33" s="78">
        <v>6472.8</v>
      </c>
      <c r="U33" s="78">
        <v>11072.43</v>
      </c>
      <c r="V33" s="78">
        <f t="shared" si="3"/>
        <v>32134.5024</v>
      </c>
      <c r="W33" s="78">
        <v>360</v>
      </c>
      <c r="X33" s="78">
        <v>680</v>
      </c>
      <c r="Y33" s="78">
        <f t="shared" si="4"/>
        <v>1484</v>
      </c>
      <c r="Z33" s="78">
        <v>3210</v>
      </c>
      <c r="AA33" s="78">
        <v>8000</v>
      </c>
      <c r="AB33" s="78">
        <v>960</v>
      </c>
      <c r="AC33" s="78">
        <v>40</v>
      </c>
      <c r="AD33" s="78">
        <f>360*12</f>
        <v>4320</v>
      </c>
      <c r="AE33" s="78">
        <f t="shared" si="5"/>
        <v>1200</v>
      </c>
      <c r="AF33" s="78">
        <f t="shared" si="8"/>
        <v>138559.8224</v>
      </c>
      <c r="AG33" s="78">
        <f>(G33-1)*AK33*11*通江农村客运车辆成本信息核定表!$H$8</f>
        <v>2365.44</v>
      </c>
      <c r="AH33" s="100" t="s">
        <v>403</v>
      </c>
      <c r="AI33" s="78">
        <v>65</v>
      </c>
      <c r="AJ33" s="78">
        <v>25</v>
      </c>
      <c r="AK33" s="78">
        <f t="shared" si="13"/>
        <v>56</v>
      </c>
      <c r="AL33" s="78">
        <v>28</v>
      </c>
      <c r="AM33" s="78">
        <f t="shared" si="6"/>
        <v>40040</v>
      </c>
      <c r="AN33" s="78"/>
      <c r="AO33" s="78"/>
      <c r="AP33" s="78">
        <f t="shared" si="7"/>
        <v>59136</v>
      </c>
    </row>
    <row r="34" s="86" customFormat="1" ht="24.95" customHeight="1" spans="1:42">
      <c r="A34" s="99">
        <v>30</v>
      </c>
      <c r="B34" s="99" t="s">
        <v>419</v>
      </c>
      <c r="C34" s="100" t="s">
        <v>336</v>
      </c>
      <c r="D34" s="103" t="s">
        <v>420</v>
      </c>
      <c r="E34" s="103">
        <v>42108</v>
      </c>
      <c r="F34" s="104" t="s">
        <v>421</v>
      </c>
      <c r="G34" s="78">
        <v>11</v>
      </c>
      <c r="H34" s="102">
        <v>42732</v>
      </c>
      <c r="I34" s="100" t="s">
        <v>422</v>
      </c>
      <c r="J34" s="132">
        <v>32</v>
      </c>
      <c r="K34" s="132">
        <v>15</v>
      </c>
      <c r="L34" s="132">
        <v>620</v>
      </c>
      <c r="M34" s="132">
        <v>15</v>
      </c>
      <c r="N34" s="99">
        <v>7</v>
      </c>
      <c r="O34" s="78">
        <v>64709.4</v>
      </c>
      <c r="P34" s="78">
        <v>5726.5</v>
      </c>
      <c r="Q34" s="78">
        <f t="shared" si="0"/>
        <v>9760.4</v>
      </c>
      <c r="R34" s="78">
        <f t="shared" si="1"/>
        <v>7440</v>
      </c>
      <c r="S34" s="78">
        <f t="shared" si="11"/>
        <v>50400</v>
      </c>
      <c r="T34" s="78">
        <v>6472.8</v>
      </c>
      <c r="U34" s="78">
        <v>10660.7</v>
      </c>
      <c r="V34" s="78">
        <f t="shared" si="3"/>
        <v>31640.12544</v>
      </c>
      <c r="W34" s="78">
        <v>360</v>
      </c>
      <c r="X34" s="78">
        <v>680</v>
      </c>
      <c r="Y34" s="78">
        <f t="shared" si="4"/>
        <v>1484</v>
      </c>
      <c r="Z34" s="78">
        <v>3210</v>
      </c>
      <c r="AA34" s="78">
        <v>8200</v>
      </c>
      <c r="AB34" s="78">
        <v>960</v>
      </c>
      <c r="AC34" s="78">
        <v>40</v>
      </c>
      <c r="AD34" s="78">
        <f>400*12</f>
        <v>4800</v>
      </c>
      <c r="AE34" s="78">
        <f t="shared" si="5"/>
        <v>1200</v>
      </c>
      <c r="AF34" s="78">
        <f t="shared" si="8"/>
        <v>137308.02544</v>
      </c>
      <c r="AG34" s="78">
        <f>(G34-1)*AK34*11*通江农村客运车辆成本信息核定表!$H$8</f>
        <v>5913.6</v>
      </c>
      <c r="AH34" s="100" t="s">
        <v>422</v>
      </c>
      <c r="AI34" s="78">
        <v>32</v>
      </c>
      <c r="AJ34" s="78">
        <v>15</v>
      </c>
      <c r="AK34" s="78">
        <f>28*2*2</f>
        <v>112</v>
      </c>
      <c r="AL34" s="78">
        <v>28</v>
      </c>
      <c r="AM34" s="78">
        <f t="shared" si="6"/>
        <v>39424</v>
      </c>
      <c r="AN34" s="78"/>
      <c r="AO34" s="78"/>
      <c r="AP34" s="78">
        <f t="shared" si="7"/>
        <v>88704</v>
      </c>
    </row>
    <row r="35" s="86" customFormat="1" ht="24.95" customHeight="1" spans="1:42">
      <c r="A35" s="99">
        <v>31</v>
      </c>
      <c r="B35" s="99" t="s">
        <v>423</v>
      </c>
      <c r="C35" s="100" t="s">
        <v>347</v>
      </c>
      <c r="D35" s="103" t="s">
        <v>424</v>
      </c>
      <c r="E35" s="103">
        <v>124620</v>
      </c>
      <c r="F35" s="104" t="s">
        <v>425</v>
      </c>
      <c r="G35" s="78">
        <v>10</v>
      </c>
      <c r="H35" s="102">
        <v>42898</v>
      </c>
      <c r="I35" s="100" t="s">
        <v>426</v>
      </c>
      <c r="J35" s="132">
        <v>36</v>
      </c>
      <c r="K35" s="132">
        <v>17</v>
      </c>
      <c r="L35" s="132">
        <v>580</v>
      </c>
      <c r="M35" s="132">
        <v>17</v>
      </c>
      <c r="N35" s="99">
        <v>7</v>
      </c>
      <c r="O35" s="78">
        <v>69000</v>
      </c>
      <c r="P35" s="78">
        <v>5897.44</v>
      </c>
      <c r="Q35" s="78">
        <f t="shared" si="0"/>
        <v>10378.65</v>
      </c>
      <c r="R35" s="78">
        <f t="shared" si="1"/>
        <v>6960</v>
      </c>
      <c r="S35" s="78">
        <f t="shared" si="11"/>
        <v>50400</v>
      </c>
      <c r="T35" s="78">
        <v>6472.8</v>
      </c>
      <c r="U35" s="78">
        <v>10115.78</v>
      </c>
      <c r="V35" s="78">
        <f t="shared" si="3"/>
        <v>35595.14112</v>
      </c>
      <c r="W35" s="78">
        <v>360</v>
      </c>
      <c r="X35" s="78">
        <v>680</v>
      </c>
      <c r="Y35" s="78">
        <f t="shared" si="4"/>
        <v>1484</v>
      </c>
      <c r="Z35" s="78">
        <v>3210</v>
      </c>
      <c r="AA35" s="78">
        <v>8200</v>
      </c>
      <c r="AB35" s="78">
        <v>960</v>
      </c>
      <c r="AC35" s="78">
        <v>40</v>
      </c>
      <c r="AD35" s="78">
        <f>400*12</f>
        <v>4800</v>
      </c>
      <c r="AE35" s="78">
        <f t="shared" si="5"/>
        <v>1200</v>
      </c>
      <c r="AF35" s="78">
        <f t="shared" si="8"/>
        <v>140856.37112</v>
      </c>
      <c r="AG35" s="78">
        <f>(G35-1)*AK35*11*通江农村客运车辆成本信息核定表!$H$8</f>
        <v>5322.24</v>
      </c>
      <c r="AH35" s="100" t="s">
        <v>426</v>
      </c>
      <c r="AI35" s="78">
        <v>36</v>
      </c>
      <c r="AJ35" s="78">
        <v>17</v>
      </c>
      <c r="AK35" s="78">
        <f>28*2*2</f>
        <v>112</v>
      </c>
      <c r="AL35" s="78">
        <v>28</v>
      </c>
      <c r="AM35" s="78">
        <f t="shared" si="6"/>
        <v>44352</v>
      </c>
      <c r="AN35" s="78"/>
      <c r="AO35" s="78"/>
      <c r="AP35" s="78">
        <f t="shared" si="7"/>
        <v>90478.08</v>
      </c>
    </row>
    <row r="36" s="86" customFormat="1" ht="24.95" customHeight="1" spans="1:42">
      <c r="A36" s="99">
        <v>32</v>
      </c>
      <c r="B36" s="99" t="s">
        <v>427</v>
      </c>
      <c r="C36" s="100" t="s">
        <v>347</v>
      </c>
      <c r="D36" s="103" t="s">
        <v>428</v>
      </c>
      <c r="E36" s="103" t="s">
        <v>429</v>
      </c>
      <c r="F36" s="104" t="s">
        <v>430</v>
      </c>
      <c r="G36" s="78">
        <v>9</v>
      </c>
      <c r="H36" s="102">
        <v>43847</v>
      </c>
      <c r="I36" s="100" t="s">
        <v>431</v>
      </c>
      <c r="J36" s="132">
        <v>98</v>
      </c>
      <c r="K36" s="132">
        <v>35</v>
      </c>
      <c r="L36" s="132">
        <v>580</v>
      </c>
      <c r="M36" s="132">
        <v>35</v>
      </c>
      <c r="N36" s="99">
        <v>7</v>
      </c>
      <c r="O36" s="78">
        <v>90000</v>
      </c>
      <c r="P36" s="78">
        <v>7964.6</v>
      </c>
      <c r="Q36" s="78">
        <f t="shared" si="0"/>
        <v>13575.09</v>
      </c>
      <c r="R36" s="78">
        <f t="shared" si="1"/>
        <v>6960</v>
      </c>
      <c r="S36" s="78">
        <f t="shared" si="11"/>
        <v>50400</v>
      </c>
      <c r="T36" s="78">
        <v>6472.8</v>
      </c>
      <c r="U36" s="78">
        <v>9617.3</v>
      </c>
      <c r="V36" s="78">
        <f t="shared" si="3"/>
        <v>48448.94208</v>
      </c>
      <c r="W36" s="78">
        <v>360</v>
      </c>
      <c r="X36" s="78">
        <v>680</v>
      </c>
      <c r="Y36" s="78">
        <f t="shared" si="4"/>
        <v>1484</v>
      </c>
      <c r="Z36" s="78">
        <v>3210</v>
      </c>
      <c r="AA36" s="78">
        <v>8000</v>
      </c>
      <c r="AB36" s="78">
        <v>960</v>
      </c>
      <c r="AC36" s="78">
        <v>40</v>
      </c>
      <c r="AD36" s="78">
        <f>360*12</f>
        <v>4320</v>
      </c>
      <c r="AE36" s="78">
        <f t="shared" si="5"/>
        <v>1200</v>
      </c>
      <c r="AF36" s="78">
        <f t="shared" si="8"/>
        <v>155728.13208</v>
      </c>
      <c r="AG36" s="78">
        <f>(G36-1)*AK36*11*通江农村客运车辆成本信息核定表!$H$8</f>
        <v>2365.44</v>
      </c>
      <c r="AH36" s="100" t="s">
        <v>431</v>
      </c>
      <c r="AI36" s="78">
        <v>98</v>
      </c>
      <c r="AJ36" s="78">
        <v>35</v>
      </c>
      <c r="AK36" s="78">
        <f t="shared" si="13"/>
        <v>56</v>
      </c>
      <c r="AL36" s="78">
        <v>28</v>
      </c>
      <c r="AM36" s="78">
        <f t="shared" si="6"/>
        <v>60368</v>
      </c>
      <c r="AN36" s="78"/>
      <c r="AO36" s="78"/>
      <c r="AP36" s="78">
        <f t="shared" si="7"/>
        <v>82790.4</v>
      </c>
    </row>
    <row r="37" s="87" customFormat="1" ht="24.95" customHeight="1" spans="1:42">
      <c r="A37" s="126" t="s">
        <v>216</v>
      </c>
      <c r="B37" s="127"/>
      <c r="C37" s="108"/>
      <c r="D37" s="109"/>
      <c r="E37" s="110"/>
      <c r="F37" s="110"/>
      <c r="G37" s="128">
        <f t="shared" ref="G37:AG37" si="14">SUM(G5:G36)</f>
        <v>371</v>
      </c>
      <c r="H37" s="128"/>
      <c r="I37" s="128">
        <f t="shared" si="14"/>
        <v>0</v>
      </c>
      <c r="J37" s="128">
        <f t="shared" si="14"/>
        <v>1785</v>
      </c>
      <c r="K37" s="128">
        <f t="shared" si="14"/>
        <v>732</v>
      </c>
      <c r="L37" s="128">
        <f t="shared" si="14"/>
        <v>19320</v>
      </c>
      <c r="M37" s="128">
        <f t="shared" si="14"/>
        <v>732</v>
      </c>
      <c r="N37" s="128">
        <f t="shared" si="14"/>
        <v>224</v>
      </c>
      <c r="O37" s="128">
        <f t="shared" si="14"/>
        <v>3014219.556</v>
      </c>
      <c r="P37" s="128">
        <f t="shared" si="14"/>
        <v>332783.45</v>
      </c>
      <c r="Q37" s="128">
        <f t="shared" si="14"/>
        <v>463798.95</v>
      </c>
      <c r="R37" s="128">
        <f t="shared" si="14"/>
        <v>231840</v>
      </c>
      <c r="S37" s="128">
        <f t="shared" si="14"/>
        <v>1612800</v>
      </c>
      <c r="T37" s="128">
        <f t="shared" si="14"/>
        <v>207129.6</v>
      </c>
      <c r="U37" s="128">
        <f t="shared" si="14"/>
        <v>343965.9</v>
      </c>
      <c r="V37" s="128">
        <f t="shared" si="14"/>
        <v>1289335.11168</v>
      </c>
      <c r="W37" s="128">
        <f t="shared" si="14"/>
        <v>11520</v>
      </c>
      <c r="X37" s="128">
        <f t="shared" si="14"/>
        <v>21760</v>
      </c>
      <c r="Y37" s="128">
        <f t="shared" si="14"/>
        <v>47488</v>
      </c>
      <c r="Z37" s="128">
        <f t="shared" si="14"/>
        <v>109700</v>
      </c>
      <c r="AA37" s="128">
        <f t="shared" si="14"/>
        <v>277000</v>
      </c>
      <c r="AB37" s="128">
        <f t="shared" si="14"/>
        <v>30720</v>
      </c>
      <c r="AC37" s="128">
        <f t="shared" si="14"/>
        <v>1280</v>
      </c>
      <c r="AD37" s="128">
        <f t="shared" si="14"/>
        <v>157200</v>
      </c>
      <c r="AE37" s="128">
        <f t="shared" si="14"/>
        <v>38400</v>
      </c>
      <c r="AF37" s="128">
        <f t="shared" si="14"/>
        <v>4843937.56168</v>
      </c>
      <c r="AG37" s="128">
        <f t="shared" si="14"/>
        <v>179773.44</v>
      </c>
      <c r="AH37" s="137" t="s">
        <v>216</v>
      </c>
      <c r="AI37" s="128">
        <f t="shared" ref="AI37:AP37" si="15">SUM(AI5:AI36)</f>
        <v>1785</v>
      </c>
      <c r="AJ37" s="128">
        <f t="shared" si="15"/>
        <v>732</v>
      </c>
      <c r="AK37" s="128">
        <f t="shared" si="15"/>
        <v>3248</v>
      </c>
      <c r="AL37" s="128">
        <f t="shared" si="15"/>
        <v>896</v>
      </c>
      <c r="AM37" s="128">
        <f t="shared" si="15"/>
        <v>1606528</v>
      </c>
      <c r="AN37" s="128">
        <f t="shared" si="15"/>
        <v>29610</v>
      </c>
      <c r="AO37" s="128">
        <f t="shared" si="15"/>
        <v>129600</v>
      </c>
      <c r="AP37" s="128">
        <f t="shared" si="15"/>
        <v>3484884.48</v>
      </c>
    </row>
    <row r="38" s="87" customFormat="1" ht="24.95" customHeight="1" spans="1:42">
      <c r="A38" s="129" t="s">
        <v>217</v>
      </c>
      <c r="B38" s="16"/>
      <c r="C38" s="108"/>
      <c r="D38" s="109"/>
      <c r="E38" s="110"/>
      <c r="F38" s="110"/>
      <c r="G38" s="128">
        <f t="shared" ref="G38:V38" si="16">ROUND(G37/$A$40,2)</f>
        <v>11.59</v>
      </c>
      <c r="H38" s="128"/>
      <c r="I38" s="128">
        <f t="shared" si="16"/>
        <v>0</v>
      </c>
      <c r="J38" s="128">
        <f t="shared" si="16"/>
        <v>55.78</v>
      </c>
      <c r="K38" s="128">
        <f t="shared" si="16"/>
        <v>22.88</v>
      </c>
      <c r="L38" s="128">
        <f t="shared" si="16"/>
        <v>603.75</v>
      </c>
      <c r="M38" s="128">
        <f t="shared" si="16"/>
        <v>22.88</v>
      </c>
      <c r="N38" s="128">
        <f t="shared" si="16"/>
        <v>7</v>
      </c>
      <c r="O38" s="128">
        <f t="shared" si="16"/>
        <v>94194.36</v>
      </c>
      <c r="P38" s="128">
        <f t="shared" si="16"/>
        <v>10399.48</v>
      </c>
      <c r="Q38" s="128">
        <f>ROUND(Q37/$A$40,2)</f>
        <v>14493.72</v>
      </c>
      <c r="R38" s="128">
        <f t="shared" ref="R38:AE38" si="17">ROUND(R37/$A$40,2)</f>
        <v>7245</v>
      </c>
      <c r="S38" s="128">
        <f t="shared" si="17"/>
        <v>50400</v>
      </c>
      <c r="T38" s="128">
        <f t="shared" si="17"/>
        <v>6472.8</v>
      </c>
      <c r="U38" s="128">
        <f t="shared" si="17"/>
        <v>10748.93</v>
      </c>
      <c r="V38" s="128">
        <f t="shared" si="17"/>
        <v>40291.72</v>
      </c>
      <c r="W38" s="128">
        <f t="shared" si="17"/>
        <v>360</v>
      </c>
      <c r="X38" s="128">
        <f t="shared" si="17"/>
        <v>680</v>
      </c>
      <c r="Y38" s="128">
        <f t="shared" si="17"/>
        <v>1484</v>
      </c>
      <c r="Z38" s="128">
        <f t="shared" si="17"/>
        <v>3428.13</v>
      </c>
      <c r="AA38" s="128">
        <f t="shared" si="17"/>
        <v>8656.25</v>
      </c>
      <c r="AB38" s="128">
        <f t="shared" si="17"/>
        <v>960</v>
      </c>
      <c r="AC38" s="128">
        <f t="shared" si="17"/>
        <v>40</v>
      </c>
      <c r="AD38" s="128">
        <f t="shared" si="17"/>
        <v>4912.5</v>
      </c>
      <c r="AE38" s="128">
        <f t="shared" si="17"/>
        <v>1200</v>
      </c>
      <c r="AF38" s="128">
        <f>ROUND(AF37/$A$40,2)+0.01</f>
        <v>151373.06</v>
      </c>
      <c r="AG38" s="128">
        <f>ROUND(AG37/$A$40,2)</f>
        <v>5617.92</v>
      </c>
      <c r="AH38" s="137" t="s">
        <v>217</v>
      </c>
      <c r="AI38" s="128">
        <f t="shared" ref="AI38:AP38" si="18">ROUND(AI37/$A$40,2)</f>
        <v>55.78</v>
      </c>
      <c r="AJ38" s="128">
        <f t="shared" si="18"/>
        <v>22.88</v>
      </c>
      <c r="AK38" s="128">
        <f t="shared" si="18"/>
        <v>101.5</v>
      </c>
      <c r="AL38" s="128">
        <f t="shared" si="18"/>
        <v>28</v>
      </c>
      <c r="AM38" s="128">
        <f t="shared" si="18"/>
        <v>50204</v>
      </c>
      <c r="AN38" s="128">
        <f t="shared" si="18"/>
        <v>925.31</v>
      </c>
      <c r="AO38" s="128">
        <f t="shared" si="18"/>
        <v>4050</v>
      </c>
      <c r="AP38" s="128">
        <f t="shared" si="18"/>
        <v>108902.64</v>
      </c>
    </row>
    <row r="40" spans="1:2">
      <c r="A40" s="88">
        <v>32</v>
      </c>
      <c r="B40" s="89">
        <v>12</v>
      </c>
    </row>
  </sheetData>
  <sheetProtection formatCells="0" insertHyperlinks="0" autoFilter="0"/>
  <autoFilter ref="A4:AV38">
    <extLst/>
  </autoFilter>
  <mergeCells count="4">
    <mergeCell ref="A2:X2"/>
    <mergeCell ref="Y2:AP2"/>
    <mergeCell ref="A37:B37"/>
    <mergeCell ref="A38:B38"/>
  </mergeCells>
  <printOptions horizontalCentered="1"/>
  <pageMargins left="0.354166666666667" right="0.393055555555556" top="0.511805555555556" bottom="0.236111111111111" header="0.393055555555556" footer="0.354166666666667"/>
  <pageSetup paperSize="9" scale="55" pageOrder="overThenDown" orientation="landscape" horizontalDpi="600"/>
  <headerFooter>
    <oddFooter>&amp;C第 &amp;P 页，共 &amp;N 页</oddFooter>
  </headerFooter>
  <rowBreaks count="1" manualBreakCount="1">
    <brk id="38" max="41" man="1"/>
  </rowBreaks>
  <colBreaks count="1" manualBreakCount="1">
    <brk id="24" max="37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5"/>
  <sheetViews>
    <sheetView showZeros="0" view="pageBreakPreview" zoomScaleNormal="100" zoomScaleSheetLayoutView="100" workbookViewId="0">
      <pane xSplit="3" ySplit="4" topLeftCell="D5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.25"/>
  <cols>
    <col min="1" max="1" width="4.63333333333333" style="88" customWidth="1"/>
    <col min="2" max="2" width="8.38333333333333" style="89" customWidth="1"/>
    <col min="3" max="3" width="12" style="89" customWidth="1"/>
    <col min="4" max="4" width="16.3833333333333" style="90" customWidth="1"/>
    <col min="5" max="5" width="9.88333333333333" style="88" customWidth="1"/>
    <col min="6" max="6" width="14.5" style="88" customWidth="1"/>
    <col min="7" max="7" width="5.38333333333333" style="88" customWidth="1"/>
    <col min="8" max="8" width="11.75" style="89" customWidth="1"/>
    <col min="9" max="9" width="17.6333333333333" style="91" hidden="1" customWidth="1"/>
    <col min="10" max="12" width="10.75" style="91" hidden="1" customWidth="1"/>
    <col min="13" max="13" width="8.38333333333333" style="89" hidden="1" customWidth="1"/>
    <col min="14" max="14" width="6.38333333333333" style="89" customWidth="1"/>
    <col min="15" max="18" width="7.63333333333333" style="92" customWidth="1"/>
    <col min="19" max="33" width="7.63333333333333" style="89" customWidth="1"/>
    <col min="34" max="34" width="10" style="89" customWidth="1"/>
    <col min="35" max="42" width="7.63333333333333" style="89" customWidth="1"/>
    <col min="43" max="16384" width="9" style="89"/>
  </cols>
  <sheetData>
    <row r="1" ht="13.5" spans="1:27">
      <c r="A1" s="93" t="s">
        <v>433</v>
      </c>
      <c r="AA1" s="119"/>
    </row>
    <row r="2" ht="21" customHeight="1" spans="1:42">
      <c r="A2" s="94" t="s">
        <v>221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20" t="s">
        <v>221</v>
      </c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</row>
    <row r="3" s="84" customFormat="1" ht="24.95" customHeight="1" spans="1:42">
      <c r="A3" s="95" t="s">
        <v>223</v>
      </c>
      <c r="D3" s="95"/>
      <c r="E3" s="96"/>
      <c r="F3" s="96"/>
      <c r="G3" s="96"/>
      <c r="I3" s="111"/>
      <c r="J3" s="111"/>
      <c r="K3" s="111"/>
      <c r="L3" s="111"/>
      <c r="O3" s="112"/>
      <c r="P3" s="112"/>
      <c r="Q3" s="112"/>
      <c r="R3" s="112"/>
      <c r="W3" s="116"/>
      <c r="X3" s="82" t="s">
        <v>113</v>
      </c>
      <c r="Y3" s="82"/>
      <c r="Z3" s="82"/>
      <c r="AA3" s="116"/>
      <c r="AF3" s="121"/>
      <c r="AG3" s="122"/>
      <c r="AH3" s="122"/>
      <c r="AI3" s="123"/>
      <c r="AJ3" s="123"/>
      <c r="AK3" s="123"/>
      <c r="AL3" s="123"/>
      <c r="AM3" s="123"/>
      <c r="AN3" s="123"/>
      <c r="AO3" s="123"/>
      <c r="AP3" s="124" t="s">
        <v>113</v>
      </c>
    </row>
    <row r="4" s="85" customFormat="1" ht="35.25" customHeight="1" spans="1:42">
      <c r="A4" s="97" t="s">
        <v>114</v>
      </c>
      <c r="B4" s="97" t="s">
        <v>224</v>
      </c>
      <c r="C4" s="97" t="s">
        <v>225</v>
      </c>
      <c r="D4" s="98" t="s">
        <v>226</v>
      </c>
      <c r="E4" s="98" t="s">
        <v>227</v>
      </c>
      <c r="F4" s="98" t="s">
        <v>228</v>
      </c>
      <c r="G4" s="97" t="s">
        <v>120</v>
      </c>
      <c r="H4" s="97" t="s">
        <v>229</v>
      </c>
      <c r="I4" s="98" t="s">
        <v>230</v>
      </c>
      <c r="J4" s="11" t="s">
        <v>124</v>
      </c>
      <c r="K4" s="10" t="s">
        <v>144</v>
      </c>
      <c r="L4" s="10" t="s">
        <v>123</v>
      </c>
      <c r="M4" s="97" t="s">
        <v>231</v>
      </c>
      <c r="N4" s="11" t="s">
        <v>125</v>
      </c>
      <c r="O4" s="113" t="s">
        <v>126</v>
      </c>
      <c r="P4" s="113" t="s">
        <v>127</v>
      </c>
      <c r="Q4" s="22" t="s">
        <v>128</v>
      </c>
      <c r="R4" s="117" t="s">
        <v>129</v>
      </c>
      <c r="S4" s="118" t="s">
        <v>232</v>
      </c>
      <c r="T4" s="28" t="s">
        <v>131</v>
      </c>
      <c r="U4" s="113" t="s">
        <v>132</v>
      </c>
      <c r="V4" s="118" t="s">
        <v>133</v>
      </c>
      <c r="W4" s="113" t="s">
        <v>134</v>
      </c>
      <c r="X4" s="113" t="s">
        <v>135</v>
      </c>
      <c r="Y4" s="113" t="s">
        <v>136</v>
      </c>
      <c r="Z4" s="28" t="s">
        <v>137</v>
      </c>
      <c r="AA4" s="28" t="s">
        <v>138</v>
      </c>
      <c r="AB4" s="29" t="s">
        <v>139</v>
      </c>
      <c r="AC4" s="29" t="s">
        <v>140</v>
      </c>
      <c r="AD4" s="29" t="s">
        <v>233</v>
      </c>
      <c r="AE4" s="29" t="s">
        <v>234</v>
      </c>
      <c r="AF4" s="113" t="s">
        <v>141</v>
      </c>
      <c r="AG4" s="113" t="s">
        <v>142</v>
      </c>
      <c r="AH4" s="9" t="s">
        <v>122</v>
      </c>
      <c r="AI4" s="24" t="s">
        <v>143</v>
      </c>
      <c r="AJ4" s="9" t="s">
        <v>144</v>
      </c>
      <c r="AK4" s="24" t="s">
        <v>145</v>
      </c>
      <c r="AL4" s="24" t="s">
        <v>146</v>
      </c>
      <c r="AM4" s="24" t="s">
        <v>147</v>
      </c>
      <c r="AN4" s="24" t="s">
        <v>148</v>
      </c>
      <c r="AO4" s="24" t="s">
        <v>149</v>
      </c>
      <c r="AP4" s="24" t="s">
        <v>150</v>
      </c>
    </row>
    <row r="5" s="86" customFormat="1" ht="24.95" customHeight="1" spans="1:42">
      <c r="A5" s="99">
        <v>1</v>
      </c>
      <c r="B5" s="99" t="s">
        <v>235</v>
      </c>
      <c r="C5" s="100" t="s">
        <v>236</v>
      </c>
      <c r="D5" s="101" t="s">
        <v>237</v>
      </c>
      <c r="E5" s="101" t="s">
        <v>238</v>
      </c>
      <c r="F5" s="99" t="s">
        <v>239</v>
      </c>
      <c r="G5" s="14">
        <v>9</v>
      </c>
      <c r="H5" s="102">
        <v>43823</v>
      </c>
      <c r="I5" s="100" t="s">
        <v>240</v>
      </c>
      <c r="J5" s="114">
        <v>95</v>
      </c>
      <c r="K5" s="114">
        <v>30</v>
      </c>
      <c r="L5" s="114">
        <v>580</v>
      </c>
      <c r="M5" s="114">
        <v>30</v>
      </c>
      <c r="N5" s="99">
        <v>7</v>
      </c>
      <c r="O5" s="14">
        <v>92000</v>
      </c>
      <c r="P5" s="14">
        <v>8141.59</v>
      </c>
      <c r="Q5" s="14">
        <f t="shared" ref="Q5:Q20" si="0">ROUND((O5+P5)*0.97/N5,2)</f>
        <v>13876.76</v>
      </c>
      <c r="R5" s="14">
        <f t="shared" ref="R5:R20" si="1">L5*$B$24</f>
        <v>6960</v>
      </c>
      <c r="S5" s="14">
        <f t="shared" ref="S5:S20" si="2">4500*12</f>
        <v>54000</v>
      </c>
      <c r="T5" s="14">
        <v>5731.2</v>
      </c>
      <c r="U5" s="14">
        <v>15832.94</v>
      </c>
      <c r="V5" s="14">
        <f>AM5*0.12*6.38*1.1</f>
        <v>53763.4944</v>
      </c>
      <c r="W5" s="14">
        <v>360</v>
      </c>
      <c r="X5" s="14">
        <v>680</v>
      </c>
      <c r="Y5" s="14">
        <f>371*4</f>
        <v>1484</v>
      </c>
      <c r="Z5" s="14">
        <v>3210</v>
      </c>
      <c r="AA5" s="14">
        <v>8000</v>
      </c>
      <c r="AB5" s="14">
        <v>960</v>
      </c>
      <c r="AC5" s="14">
        <v>40</v>
      </c>
      <c r="AD5" s="14">
        <f>360*12</f>
        <v>4320</v>
      </c>
      <c r="AE5" s="14">
        <f>100*12</f>
        <v>1200</v>
      </c>
      <c r="AF5" s="14">
        <f>SUM(Q5:AE5)</f>
        <v>170418.3944</v>
      </c>
      <c r="AG5" s="14">
        <f>(G5-1)*AK5*12*通江农村客运车辆成本信息核定表!$I$8</f>
        <v>2741.76</v>
      </c>
      <c r="AH5" s="100" t="s">
        <v>240</v>
      </c>
      <c r="AI5" s="14">
        <v>95</v>
      </c>
      <c r="AJ5" s="14">
        <v>30</v>
      </c>
      <c r="AK5" s="14">
        <v>56</v>
      </c>
      <c r="AL5" s="14">
        <v>28</v>
      </c>
      <c r="AM5" s="14">
        <f>AI5*AK5*12</f>
        <v>63840</v>
      </c>
      <c r="AN5" s="14"/>
      <c r="AO5" s="14"/>
      <c r="AP5" s="14">
        <f>AG5*AJ5</f>
        <v>82252.8</v>
      </c>
    </row>
    <row r="6" s="86" customFormat="1" ht="24.95" customHeight="1" spans="1:42">
      <c r="A6" s="99">
        <v>2</v>
      </c>
      <c r="B6" s="99" t="s">
        <v>241</v>
      </c>
      <c r="C6" s="100" t="s">
        <v>242</v>
      </c>
      <c r="D6" s="101" t="s">
        <v>243</v>
      </c>
      <c r="E6" s="101" t="s">
        <v>244</v>
      </c>
      <c r="F6" s="99" t="s">
        <v>245</v>
      </c>
      <c r="G6" s="14">
        <v>14</v>
      </c>
      <c r="H6" s="102">
        <v>42964</v>
      </c>
      <c r="I6" s="100" t="s">
        <v>246</v>
      </c>
      <c r="J6" s="114">
        <v>72</v>
      </c>
      <c r="K6" s="114">
        <v>30</v>
      </c>
      <c r="L6" s="114">
        <v>700</v>
      </c>
      <c r="M6" s="114">
        <v>30</v>
      </c>
      <c r="N6" s="99">
        <v>7</v>
      </c>
      <c r="O6" s="14">
        <v>95300</v>
      </c>
      <c r="P6" s="14">
        <v>8145.3</v>
      </c>
      <c r="Q6" s="14">
        <f t="shared" si="0"/>
        <v>14334.56</v>
      </c>
      <c r="R6" s="14">
        <f t="shared" si="1"/>
        <v>8400</v>
      </c>
      <c r="S6" s="14">
        <f t="shared" si="2"/>
        <v>54000</v>
      </c>
      <c r="T6" s="14">
        <v>5731.2</v>
      </c>
      <c r="U6" s="14">
        <v>12652.01</v>
      </c>
      <c r="V6" s="14">
        <f t="shared" ref="V6:V20" si="3">AM6*0.12*6.38*1.1</f>
        <v>40747.06944</v>
      </c>
      <c r="W6" s="14">
        <v>360</v>
      </c>
      <c r="X6" s="14">
        <v>680</v>
      </c>
      <c r="Y6" s="14">
        <f t="shared" ref="Y6:Y20" si="4">371*4</f>
        <v>1484</v>
      </c>
      <c r="Z6" s="14">
        <v>3500</v>
      </c>
      <c r="AA6" s="14">
        <v>8500</v>
      </c>
      <c r="AB6" s="14">
        <v>960</v>
      </c>
      <c r="AC6" s="14">
        <v>40</v>
      </c>
      <c r="AD6" s="14">
        <f>450*12</f>
        <v>5400</v>
      </c>
      <c r="AE6" s="14">
        <f t="shared" ref="AE6:AE20" si="5">100*12</f>
        <v>1200</v>
      </c>
      <c r="AF6" s="14">
        <f>SUM(Q6:AE6)</f>
        <v>157988.83944</v>
      </c>
      <c r="AG6" s="14">
        <f>(G6-1)*AK6*12*通江农村客运车辆成本信息核定表!$I$8</f>
        <v>4455.36</v>
      </c>
      <c r="AH6" s="100" t="s">
        <v>246</v>
      </c>
      <c r="AI6" s="14">
        <v>72</v>
      </c>
      <c r="AJ6" s="14">
        <v>30</v>
      </c>
      <c r="AK6" s="14">
        <v>56</v>
      </c>
      <c r="AL6" s="14">
        <v>28</v>
      </c>
      <c r="AM6" s="14">
        <f t="shared" ref="AM6:AM20" si="6">AI6*AK6*12</f>
        <v>48384</v>
      </c>
      <c r="AN6" s="14"/>
      <c r="AO6" s="14"/>
      <c r="AP6" s="14">
        <f t="shared" ref="AP6:AP20" si="7">AG6*AJ6</f>
        <v>133660.8</v>
      </c>
    </row>
    <row r="7" s="86" customFormat="1" ht="24.95" customHeight="1" spans="1:42">
      <c r="A7" s="99">
        <v>3</v>
      </c>
      <c r="B7" s="99" t="s">
        <v>247</v>
      </c>
      <c r="C7" s="100" t="s">
        <v>248</v>
      </c>
      <c r="D7" s="101" t="s">
        <v>249</v>
      </c>
      <c r="E7" s="101" t="s">
        <v>250</v>
      </c>
      <c r="F7" s="99" t="s">
        <v>251</v>
      </c>
      <c r="G7" s="14">
        <v>19</v>
      </c>
      <c r="H7" s="102">
        <v>43322</v>
      </c>
      <c r="I7" s="100" t="s">
        <v>252</v>
      </c>
      <c r="J7" s="114">
        <v>70</v>
      </c>
      <c r="K7" s="114">
        <v>25</v>
      </c>
      <c r="L7" s="114">
        <v>740</v>
      </c>
      <c r="M7" s="114">
        <v>25</v>
      </c>
      <c r="N7" s="99">
        <v>7</v>
      </c>
      <c r="O7" s="14">
        <v>108000</v>
      </c>
      <c r="P7" s="14">
        <v>9310.35</v>
      </c>
      <c r="Q7" s="14">
        <f t="shared" si="0"/>
        <v>16255.86</v>
      </c>
      <c r="R7" s="14">
        <f t="shared" si="1"/>
        <v>8880</v>
      </c>
      <c r="S7" s="14">
        <f t="shared" si="2"/>
        <v>54000</v>
      </c>
      <c r="T7" s="14">
        <v>5731.2</v>
      </c>
      <c r="U7" s="14">
        <v>15269.77</v>
      </c>
      <c r="V7" s="14">
        <f t="shared" si="3"/>
        <v>39615.2064</v>
      </c>
      <c r="W7" s="14">
        <v>360</v>
      </c>
      <c r="X7" s="14">
        <v>680</v>
      </c>
      <c r="Y7" s="14">
        <f t="shared" si="4"/>
        <v>1484</v>
      </c>
      <c r="Z7" s="14">
        <v>4000</v>
      </c>
      <c r="AA7" s="14">
        <v>10500</v>
      </c>
      <c r="AB7" s="14">
        <v>960</v>
      </c>
      <c r="AC7" s="14">
        <v>40</v>
      </c>
      <c r="AD7" s="14">
        <f>550*12</f>
        <v>6600</v>
      </c>
      <c r="AE7" s="14">
        <f t="shared" si="5"/>
        <v>1200</v>
      </c>
      <c r="AF7" s="14">
        <f t="shared" ref="AF7:AF20" si="8">SUM(Q7:AE7)</f>
        <v>165576.0364</v>
      </c>
      <c r="AG7" s="14">
        <f>(G7-1)*AK7*12*通江农村客运车辆成本信息核定表!$I$8</f>
        <v>6168.96</v>
      </c>
      <c r="AH7" s="100" t="s">
        <v>252</v>
      </c>
      <c r="AI7" s="14">
        <v>70</v>
      </c>
      <c r="AJ7" s="14">
        <v>25</v>
      </c>
      <c r="AK7" s="14">
        <v>56</v>
      </c>
      <c r="AL7" s="14">
        <v>28</v>
      </c>
      <c r="AM7" s="14">
        <f t="shared" si="6"/>
        <v>47040</v>
      </c>
      <c r="AN7" s="14"/>
      <c r="AO7" s="14"/>
      <c r="AP7" s="14">
        <f t="shared" si="7"/>
        <v>154224</v>
      </c>
    </row>
    <row r="8" s="86" customFormat="1" ht="24.95" customHeight="1" spans="1:42">
      <c r="A8" s="99">
        <v>4</v>
      </c>
      <c r="B8" s="99" t="s">
        <v>268</v>
      </c>
      <c r="C8" s="100" t="s">
        <v>269</v>
      </c>
      <c r="D8" s="101" t="s">
        <v>270</v>
      </c>
      <c r="E8" s="101" t="s">
        <v>271</v>
      </c>
      <c r="F8" s="99" t="s">
        <v>272</v>
      </c>
      <c r="G8" s="14">
        <v>11</v>
      </c>
      <c r="H8" s="102">
        <v>42312</v>
      </c>
      <c r="I8" s="100" t="s">
        <v>273</v>
      </c>
      <c r="J8" s="114">
        <v>37</v>
      </c>
      <c r="K8" s="114">
        <v>17</v>
      </c>
      <c r="L8" s="114">
        <v>620</v>
      </c>
      <c r="M8" s="114">
        <v>17</v>
      </c>
      <c r="N8" s="99">
        <v>7</v>
      </c>
      <c r="O8" s="14">
        <v>69000</v>
      </c>
      <c r="P8" s="14">
        <v>5897.44</v>
      </c>
      <c r="Q8" s="14">
        <f t="shared" si="0"/>
        <v>10378.65</v>
      </c>
      <c r="R8" s="14">
        <f t="shared" si="1"/>
        <v>7440</v>
      </c>
      <c r="S8" s="14">
        <f t="shared" si="2"/>
        <v>54000</v>
      </c>
      <c r="T8" s="14">
        <v>5731.2</v>
      </c>
      <c r="U8" s="14">
        <v>10827.35</v>
      </c>
      <c r="V8" s="14">
        <f t="shared" si="3"/>
        <v>62818.39872</v>
      </c>
      <c r="W8" s="14">
        <v>360</v>
      </c>
      <c r="X8" s="14">
        <v>680</v>
      </c>
      <c r="Y8" s="14">
        <f t="shared" si="4"/>
        <v>1484</v>
      </c>
      <c r="Z8" s="14">
        <v>3210</v>
      </c>
      <c r="AA8" s="14">
        <v>8200</v>
      </c>
      <c r="AB8" s="14">
        <v>960</v>
      </c>
      <c r="AC8" s="14">
        <v>40</v>
      </c>
      <c r="AD8" s="14">
        <f>400*12</f>
        <v>4800</v>
      </c>
      <c r="AE8" s="14">
        <f t="shared" si="5"/>
        <v>1200</v>
      </c>
      <c r="AF8" s="14">
        <f t="shared" si="8"/>
        <v>172129.59872</v>
      </c>
      <c r="AG8" s="14">
        <f>(G8-1)*AK8*12*通江农村客运车辆成本信息核定表!$I$8</f>
        <v>10281.6</v>
      </c>
      <c r="AH8" s="100" t="s">
        <v>273</v>
      </c>
      <c r="AI8" s="14">
        <v>37</v>
      </c>
      <c r="AJ8" s="14">
        <v>17</v>
      </c>
      <c r="AK8" s="14">
        <f>28*2*3</f>
        <v>168</v>
      </c>
      <c r="AL8" s="14">
        <v>28</v>
      </c>
      <c r="AM8" s="14">
        <f t="shared" si="6"/>
        <v>74592</v>
      </c>
      <c r="AN8" s="14"/>
      <c r="AO8" s="14"/>
      <c r="AP8" s="14">
        <f t="shared" si="7"/>
        <v>174787.2</v>
      </c>
    </row>
    <row r="9" s="86" customFormat="1" ht="24.95" customHeight="1" spans="1:42">
      <c r="A9" s="99">
        <v>5</v>
      </c>
      <c r="B9" s="99" t="s">
        <v>279</v>
      </c>
      <c r="C9" s="100" t="s">
        <v>269</v>
      </c>
      <c r="D9" s="101" t="s">
        <v>280</v>
      </c>
      <c r="E9" s="101">
        <v>137420</v>
      </c>
      <c r="F9" s="99" t="s">
        <v>281</v>
      </c>
      <c r="G9" s="14">
        <v>11</v>
      </c>
      <c r="H9" s="102">
        <v>43431</v>
      </c>
      <c r="I9" s="100" t="s">
        <v>273</v>
      </c>
      <c r="J9" s="114">
        <v>37</v>
      </c>
      <c r="K9" s="114">
        <v>17</v>
      </c>
      <c r="L9" s="114">
        <v>620</v>
      </c>
      <c r="M9" s="114">
        <v>17</v>
      </c>
      <c r="N9" s="99">
        <v>7</v>
      </c>
      <c r="O9" s="14">
        <v>95000</v>
      </c>
      <c r="P9" s="14">
        <v>8189.66</v>
      </c>
      <c r="Q9" s="14">
        <f t="shared" si="0"/>
        <v>14299.14</v>
      </c>
      <c r="R9" s="14">
        <f t="shared" si="1"/>
        <v>7440</v>
      </c>
      <c r="S9" s="14">
        <f t="shared" si="2"/>
        <v>54000</v>
      </c>
      <c r="T9" s="14">
        <v>5731.2</v>
      </c>
      <c r="U9" s="14">
        <v>2576</v>
      </c>
      <c r="V9" s="14">
        <f t="shared" si="3"/>
        <v>62818.39872</v>
      </c>
      <c r="W9" s="14">
        <v>360</v>
      </c>
      <c r="X9" s="14">
        <v>680</v>
      </c>
      <c r="Y9" s="14">
        <f t="shared" si="4"/>
        <v>1484</v>
      </c>
      <c r="Z9" s="14">
        <v>3210</v>
      </c>
      <c r="AA9" s="14">
        <v>8200</v>
      </c>
      <c r="AB9" s="14">
        <v>960</v>
      </c>
      <c r="AC9" s="14">
        <v>40</v>
      </c>
      <c r="AD9" s="14">
        <f>400*12</f>
        <v>4800</v>
      </c>
      <c r="AE9" s="14">
        <f t="shared" si="5"/>
        <v>1200</v>
      </c>
      <c r="AF9" s="14">
        <f t="shared" si="8"/>
        <v>167798.73872</v>
      </c>
      <c r="AG9" s="14">
        <f>(G9-1)*AK9*12*通江农村客运车辆成本信息核定表!$I$8</f>
        <v>10281.6</v>
      </c>
      <c r="AH9" s="100" t="s">
        <v>273</v>
      </c>
      <c r="AI9" s="14">
        <v>37</v>
      </c>
      <c r="AJ9" s="14">
        <v>17</v>
      </c>
      <c r="AK9" s="14">
        <f>28*2*3</f>
        <v>168</v>
      </c>
      <c r="AL9" s="14">
        <v>28</v>
      </c>
      <c r="AM9" s="14">
        <f t="shared" si="6"/>
        <v>74592</v>
      </c>
      <c r="AN9" s="14"/>
      <c r="AO9" s="14"/>
      <c r="AP9" s="14">
        <f t="shared" si="7"/>
        <v>174787.2</v>
      </c>
    </row>
    <row r="10" s="86" customFormat="1" ht="24.95" customHeight="1" spans="1:42">
      <c r="A10" s="99">
        <v>6</v>
      </c>
      <c r="B10" s="99" t="s">
        <v>287</v>
      </c>
      <c r="C10" s="100" t="s">
        <v>288</v>
      </c>
      <c r="D10" s="101" t="s">
        <v>289</v>
      </c>
      <c r="E10" s="101">
        <v>313287</v>
      </c>
      <c r="F10" s="99" t="s">
        <v>290</v>
      </c>
      <c r="G10" s="14">
        <v>9</v>
      </c>
      <c r="H10" s="102">
        <v>43265</v>
      </c>
      <c r="I10" s="100" t="s">
        <v>291</v>
      </c>
      <c r="J10" s="114">
        <v>90</v>
      </c>
      <c r="K10" s="114">
        <v>30</v>
      </c>
      <c r="L10" s="114">
        <v>580</v>
      </c>
      <c r="M10" s="114">
        <v>30</v>
      </c>
      <c r="N10" s="99">
        <v>7</v>
      </c>
      <c r="O10" s="14">
        <v>68000</v>
      </c>
      <c r="P10" s="14">
        <v>5862.07</v>
      </c>
      <c r="Q10" s="14">
        <f t="shared" si="0"/>
        <v>10235.17</v>
      </c>
      <c r="R10" s="14">
        <f t="shared" si="1"/>
        <v>6960</v>
      </c>
      <c r="S10" s="14">
        <f t="shared" si="2"/>
        <v>54000</v>
      </c>
      <c r="T10" s="14">
        <v>5731.2</v>
      </c>
      <c r="U10" s="14">
        <v>11058.28</v>
      </c>
      <c r="V10" s="14">
        <f t="shared" si="3"/>
        <v>50933.8368</v>
      </c>
      <c r="W10" s="14">
        <v>360</v>
      </c>
      <c r="X10" s="14">
        <v>680</v>
      </c>
      <c r="Y10" s="14">
        <f t="shared" si="4"/>
        <v>1484</v>
      </c>
      <c r="Z10" s="14">
        <v>3210</v>
      </c>
      <c r="AA10" s="14">
        <v>8000</v>
      </c>
      <c r="AB10" s="14">
        <v>960</v>
      </c>
      <c r="AC10" s="14">
        <v>40</v>
      </c>
      <c r="AD10" s="14">
        <f>360*12</f>
        <v>4320</v>
      </c>
      <c r="AE10" s="14">
        <f t="shared" si="5"/>
        <v>1200</v>
      </c>
      <c r="AF10" s="14">
        <f t="shared" si="8"/>
        <v>159172.4868</v>
      </c>
      <c r="AG10" s="14">
        <f>(G10-1)*AK10*12*通江农村客运车辆成本信息核定表!$I$8</f>
        <v>2741.76</v>
      </c>
      <c r="AH10" s="100" t="s">
        <v>291</v>
      </c>
      <c r="AI10" s="14">
        <v>90</v>
      </c>
      <c r="AJ10" s="14">
        <v>30</v>
      </c>
      <c r="AK10" s="14">
        <f>28*2*1</f>
        <v>56</v>
      </c>
      <c r="AL10" s="14">
        <v>28</v>
      </c>
      <c r="AM10" s="14">
        <f t="shared" si="6"/>
        <v>60480</v>
      </c>
      <c r="AN10" s="14"/>
      <c r="AO10" s="14"/>
      <c r="AP10" s="14">
        <f t="shared" si="7"/>
        <v>82252.8</v>
      </c>
    </row>
    <row r="11" s="86" customFormat="1" ht="24.95" customHeight="1" spans="1:42">
      <c r="A11" s="99">
        <v>7</v>
      </c>
      <c r="B11" s="99" t="s">
        <v>292</v>
      </c>
      <c r="C11" s="100" t="s">
        <v>242</v>
      </c>
      <c r="D11" s="101" t="s">
        <v>293</v>
      </c>
      <c r="E11" s="101" t="s">
        <v>294</v>
      </c>
      <c r="F11" s="99" t="s">
        <v>295</v>
      </c>
      <c r="G11" s="14">
        <v>14</v>
      </c>
      <c r="H11" s="102">
        <v>43669</v>
      </c>
      <c r="I11" s="100" t="s">
        <v>296</v>
      </c>
      <c r="J11" s="114">
        <v>49</v>
      </c>
      <c r="K11" s="114">
        <v>20</v>
      </c>
      <c r="L11" s="114">
        <v>700</v>
      </c>
      <c r="M11" s="114">
        <v>20</v>
      </c>
      <c r="N11" s="99">
        <v>7</v>
      </c>
      <c r="O11" s="14">
        <v>143000</v>
      </c>
      <c r="P11" s="14">
        <v>12654.49</v>
      </c>
      <c r="Q11" s="14">
        <f t="shared" si="0"/>
        <v>21569.27</v>
      </c>
      <c r="R11" s="14">
        <f t="shared" si="1"/>
        <v>8400</v>
      </c>
      <c r="S11" s="14">
        <f t="shared" si="2"/>
        <v>54000</v>
      </c>
      <c r="T11" s="14">
        <v>5731.2</v>
      </c>
      <c r="U11" s="14">
        <v>18018.35</v>
      </c>
      <c r="V11" s="14">
        <f t="shared" si="3"/>
        <v>27730.64448</v>
      </c>
      <c r="W11" s="14">
        <v>360</v>
      </c>
      <c r="X11" s="14">
        <v>680</v>
      </c>
      <c r="Y11" s="14">
        <f t="shared" si="4"/>
        <v>1484</v>
      </c>
      <c r="Z11" s="14">
        <v>3500</v>
      </c>
      <c r="AA11" s="14">
        <v>8500</v>
      </c>
      <c r="AB11" s="14">
        <v>960</v>
      </c>
      <c r="AC11" s="14">
        <v>40</v>
      </c>
      <c r="AD11" s="14">
        <f>450*12</f>
        <v>5400</v>
      </c>
      <c r="AE11" s="14">
        <f t="shared" si="5"/>
        <v>1200</v>
      </c>
      <c r="AF11" s="14">
        <f t="shared" si="8"/>
        <v>157573.46448</v>
      </c>
      <c r="AG11" s="14">
        <f>(G11-1)*AK11*12*通江农村客运车辆成本信息核定表!$I$8</f>
        <v>4455.36</v>
      </c>
      <c r="AH11" s="100" t="s">
        <v>296</v>
      </c>
      <c r="AI11" s="14">
        <v>49</v>
      </c>
      <c r="AJ11" s="14">
        <v>20</v>
      </c>
      <c r="AK11" s="14">
        <f>28*2*1</f>
        <v>56</v>
      </c>
      <c r="AL11" s="14">
        <v>28</v>
      </c>
      <c r="AM11" s="14">
        <f t="shared" si="6"/>
        <v>32928</v>
      </c>
      <c r="AN11" s="14"/>
      <c r="AO11" s="14"/>
      <c r="AP11" s="14">
        <f t="shared" si="7"/>
        <v>89107.2</v>
      </c>
    </row>
    <row r="12" s="86" customFormat="1" ht="24.95" customHeight="1" spans="1:42">
      <c r="A12" s="99">
        <v>8</v>
      </c>
      <c r="B12" s="99" t="s">
        <v>302</v>
      </c>
      <c r="C12" s="100" t="s">
        <v>248</v>
      </c>
      <c r="D12" s="101" t="s">
        <v>303</v>
      </c>
      <c r="E12" s="101" t="s">
        <v>304</v>
      </c>
      <c r="F12" s="99" t="s">
        <v>305</v>
      </c>
      <c r="G12" s="14">
        <v>19</v>
      </c>
      <c r="H12" s="102">
        <v>42711</v>
      </c>
      <c r="I12" s="100" t="s">
        <v>306</v>
      </c>
      <c r="J12" s="114">
        <v>36</v>
      </c>
      <c r="K12" s="114">
        <v>13</v>
      </c>
      <c r="L12" s="114">
        <v>740</v>
      </c>
      <c r="M12" s="114">
        <v>13</v>
      </c>
      <c r="N12" s="99">
        <v>7</v>
      </c>
      <c r="O12" s="14">
        <v>53800</v>
      </c>
      <c r="P12" s="14">
        <v>4598.29</v>
      </c>
      <c r="Q12" s="14">
        <f t="shared" si="0"/>
        <v>8092.33</v>
      </c>
      <c r="R12" s="14">
        <f t="shared" si="1"/>
        <v>8880</v>
      </c>
      <c r="S12" s="14">
        <f t="shared" si="2"/>
        <v>54000</v>
      </c>
      <c r="T12" s="14">
        <v>5731.2</v>
      </c>
      <c r="U12" s="14">
        <v>15518.43</v>
      </c>
      <c r="V12" s="14">
        <f t="shared" si="3"/>
        <v>61120.60416</v>
      </c>
      <c r="W12" s="14">
        <v>360</v>
      </c>
      <c r="X12" s="14">
        <v>680</v>
      </c>
      <c r="Y12" s="14">
        <f t="shared" si="4"/>
        <v>1484</v>
      </c>
      <c r="Z12" s="14">
        <v>4000</v>
      </c>
      <c r="AA12" s="14">
        <v>10500</v>
      </c>
      <c r="AB12" s="14">
        <v>960</v>
      </c>
      <c r="AC12" s="14">
        <v>40</v>
      </c>
      <c r="AD12" s="14">
        <f>550*12</f>
        <v>6600</v>
      </c>
      <c r="AE12" s="14">
        <f t="shared" si="5"/>
        <v>1200</v>
      </c>
      <c r="AF12" s="14">
        <f t="shared" si="8"/>
        <v>179166.56416</v>
      </c>
      <c r="AG12" s="14">
        <f>(G12-1)*AK12*12*通江农村客运车辆成本信息核定表!$I$8</f>
        <v>18506.88</v>
      </c>
      <c r="AH12" s="100" t="s">
        <v>306</v>
      </c>
      <c r="AI12" s="14">
        <v>36</v>
      </c>
      <c r="AJ12" s="14">
        <v>13</v>
      </c>
      <c r="AK12" s="14">
        <f>28*2*3</f>
        <v>168</v>
      </c>
      <c r="AL12" s="14">
        <v>28</v>
      </c>
      <c r="AM12" s="14">
        <f t="shared" si="6"/>
        <v>72576</v>
      </c>
      <c r="AN12" s="14"/>
      <c r="AO12" s="14"/>
      <c r="AP12" s="14">
        <f t="shared" si="7"/>
        <v>240589.44</v>
      </c>
    </row>
    <row r="13" s="86" customFormat="1" ht="24.95" customHeight="1" spans="1:42">
      <c r="A13" s="99">
        <v>9</v>
      </c>
      <c r="B13" s="99" t="s">
        <v>320</v>
      </c>
      <c r="C13" s="100" t="s">
        <v>321</v>
      </c>
      <c r="D13" s="103" t="s">
        <v>322</v>
      </c>
      <c r="E13" s="101">
        <v>52437</v>
      </c>
      <c r="F13" s="99" t="s">
        <v>323</v>
      </c>
      <c r="G13" s="14">
        <v>9</v>
      </c>
      <c r="H13" s="102">
        <v>43188</v>
      </c>
      <c r="I13" s="100" t="s">
        <v>324</v>
      </c>
      <c r="J13" s="114">
        <v>70</v>
      </c>
      <c r="K13" s="114">
        <v>30</v>
      </c>
      <c r="L13" s="114">
        <v>580</v>
      </c>
      <c r="M13" s="114">
        <v>30</v>
      </c>
      <c r="N13" s="99">
        <v>7</v>
      </c>
      <c r="O13" s="14">
        <v>69000</v>
      </c>
      <c r="P13" s="14">
        <v>5897.44</v>
      </c>
      <c r="Q13" s="14">
        <f t="shared" si="0"/>
        <v>10378.65</v>
      </c>
      <c r="R13" s="14">
        <f t="shared" si="1"/>
        <v>6960</v>
      </c>
      <c r="S13" s="14">
        <f t="shared" si="2"/>
        <v>54000</v>
      </c>
      <c r="T13" s="14">
        <v>5731.2</v>
      </c>
      <c r="U13" s="14">
        <v>11058.28</v>
      </c>
      <c r="V13" s="14">
        <f t="shared" si="3"/>
        <v>39615.2064</v>
      </c>
      <c r="W13" s="14">
        <v>360</v>
      </c>
      <c r="X13" s="14">
        <v>680</v>
      </c>
      <c r="Y13" s="14">
        <f t="shared" si="4"/>
        <v>1484</v>
      </c>
      <c r="Z13" s="14">
        <v>3210</v>
      </c>
      <c r="AA13" s="14">
        <v>8000</v>
      </c>
      <c r="AB13" s="14">
        <v>960</v>
      </c>
      <c r="AC13" s="14">
        <v>40</v>
      </c>
      <c r="AD13" s="14">
        <f>360*12</f>
        <v>4320</v>
      </c>
      <c r="AE13" s="14">
        <f t="shared" si="5"/>
        <v>1200</v>
      </c>
      <c r="AF13" s="14">
        <f t="shared" si="8"/>
        <v>147997.3364</v>
      </c>
      <c r="AG13" s="14">
        <f>(G13-1)*AK13*12*通江农村客运车辆成本信息核定表!$I$8</f>
        <v>2741.76</v>
      </c>
      <c r="AH13" s="100" t="s">
        <v>324</v>
      </c>
      <c r="AI13" s="14">
        <v>70</v>
      </c>
      <c r="AJ13" s="14">
        <v>30</v>
      </c>
      <c r="AK13" s="14">
        <f>28*2*1</f>
        <v>56</v>
      </c>
      <c r="AL13" s="14">
        <v>28</v>
      </c>
      <c r="AM13" s="14">
        <f t="shared" si="6"/>
        <v>47040</v>
      </c>
      <c r="AN13" s="14"/>
      <c r="AO13" s="14"/>
      <c r="AP13" s="14">
        <f t="shared" si="7"/>
        <v>82252.8</v>
      </c>
    </row>
    <row r="14" s="86" customFormat="1" ht="24.95" customHeight="1" spans="1:42">
      <c r="A14" s="99">
        <v>10</v>
      </c>
      <c r="B14" s="99" t="s">
        <v>335</v>
      </c>
      <c r="C14" s="100" t="s">
        <v>336</v>
      </c>
      <c r="D14" s="103" t="s">
        <v>337</v>
      </c>
      <c r="E14" s="101" t="s">
        <v>338</v>
      </c>
      <c r="F14" s="99" t="s">
        <v>339</v>
      </c>
      <c r="G14" s="14">
        <v>17</v>
      </c>
      <c r="H14" s="102">
        <v>42489</v>
      </c>
      <c r="I14" s="100" t="s">
        <v>340</v>
      </c>
      <c r="J14" s="114">
        <v>70</v>
      </c>
      <c r="K14" s="114">
        <v>30</v>
      </c>
      <c r="L14" s="114">
        <v>740</v>
      </c>
      <c r="M14" s="114">
        <v>30</v>
      </c>
      <c r="N14" s="99">
        <v>7</v>
      </c>
      <c r="O14" s="14">
        <v>164500</v>
      </c>
      <c r="P14" s="14">
        <v>14059.83</v>
      </c>
      <c r="Q14" s="14">
        <f t="shared" si="0"/>
        <v>24743.29</v>
      </c>
      <c r="R14" s="14">
        <f t="shared" si="1"/>
        <v>8880</v>
      </c>
      <c r="S14" s="14">
        <f t="shared" si="2"/>
        <v>54000</v>
      </c>
      <c r="T14" s="14">
        <v>5731.2</v>
      </c>
      <c r="U14" s="14">
        <v>13918.26</v>
      </c>
      <c r="V14" s="14">
        <f t="shared" si="3"/>
        <v>39615.2064</v>
      </c>
      <c r="W14" s="14">
        <v>360</v>
      </c>
      <c r="X14" s="14">
        <v>680</v>
      </c>
      <c r="Y14" s="14">
        <f t="shared" si="4"/>
        <v>1484</v>
      </c>
      <c r="Z14" s="14">
        <v>4000</v>
      </c>
      <c r="AA14" s="14">
        <v>10500</v>
      </c>
      <c r="AB14" s="14">
        <v>960</v>
      </c>
      <c r="AC14" s="14">
        <v>40</v>
      </c>
      <c r="AD14" s="14">
        <f>450*12</f>
        <v>5400</v>
      </c>
      <c r="AE14" s="14">
        <f t="shared" si="5"/>
        <v>1200</v>
      </c>
      <c r="AF14" s="14">
        <f t="shared" si="8"/>
        <v>171511.9564</v>
      </c>
      <c r="AG14" s="14">
        <f>(G14-1)*AK14*12*通江农村客运车辆成本信息核定表!$I$8</f>
        <v>5483.52</v>
      </c>
      <c r="AH14" s="100" t="s">
        <v>340</v>
      </c>
      <c r="AI14" s="14">
        <v>70</v>
      </c>
      <c r="AJ14" s="14">
        <v>30</v>
      </c>
      <c r="AK14" s="14">
        <f>28*2*1</f>
        <v>56</v>
      </c>
      <c r="AL14" s="14">
        <v>28</v>
      </c>
      <c r="AM14" s="14">
        <f t="shared" si="6"/>
        <v>47040</v>
      </c>
      <c r="AN14" s="14"/>
      <c r="AO14" s="14"/>
      <c r="AP14" s="14">
        <f t="shared" si="7"/>
        <v>164505.6</v>
      </c>
    </row>
    <row r="15" s="86" customFormat="1" ht="24.95" customHeight="1" spans="1:42">
      <c r="A15" s="99">
        <v>11</v>
      </c>
      <c r="B15" s="99" t="s">
        <v>361</v>
      </c>
      <c r="C15" s="100" t="s">
        <v>347</v>
      </c>
      <c r="D15" s="103" t="s">
        <v>362</v>
      </c>
      <c r="E15" s="101" t="s">
        <v>363</v>
      </c>
      <c r="F15" s="99" t="s">
        <v>364</v>
      </c>
      <c r="G15" s="14">
        <v>8</v>
      </c>
      <c r="H15" s="102">
        <v>42831</v>
      </c>
      <c r="I15" s="100" t="s">
        <v>365</v>
      </c>
      <c r="J15" s="114">
        <v>40</v>
      </c>
      <c r="K15" s="114">
        <v>20</v>
      </c>
      <c r="L15" s="114">
        <v>420</v>
      </c>
      <c r="M15" s="114">
        <v>20</v>
      </c>
      <c r="N15" s="99">
        <v>7</v>
      </c>
      <c r="O15" s="14">
        <v>40800</v>
      </c>
      <c r="P15" s="14">
        <v>3487.18</v>
      </c>
      <c r="Q15" s="14">
        <f t="shared" si="0"/>
        <v>6136.94</v>
      </c>
      <c r="R15" s="14">
        <f t="shared" si="1"/>
        <v>5040</v>
      </c>
      <c r="S15" s="14">
        <f t="shared" si="2"/>
        <v>54000</v>
      </c>
      <c r="T15" s="14">
        <v>5731.2</v>
      </c>
      <c r="U15" s="14">
        <v>1945</v>
      </c>
      <c r="V15" s="14">
        <f t="shared" si="3"/>
        <v>45274.5216</v>
      </c>
      <c r="W15" s="14">
        <v>360</v>
      </c>
      <c r="X15" s="14">
        <v>680</v>
      </c>
      <c r="Y15" s="14">
        <f t="shared" si="4"/>
        <v>1484</v>
      </c>
      <c r="Z15" s="14">
        <v>3210</v>
      </c>
      <c r="AA15" s="14">
        <v>8000</v>
      </c>
      <c r="AB15" s="14">
        <v>960</v>
      </c>
      <c r="AC15" s="14">
        <v>40</v>
      </c>
      <c r="AD15" s="14">
        <f t="shared" ref="AD15:AD16" si="9">360*12</f>
        <v>4320</v>
      </c>
      <c r="AE15" s="14">
        <f t="shared" si="5"/>
        <v>1200</v>
      </c>
      <c r="AF15" s="14">
        <f t="shared" si="8"/>
        <v>138381.6616</v>
      </c>
      <c r="AG15" s="14">
        <f>(G15-1)*AK15*12*通江农村客运车辆成本信息核定表!$I$8</f>
        <v>4798.08</v>
      </c>
      <c r="AH15" s="100" t="s">
        <v>365</v>
      </c>
      <c r="AI15" s="14">
        <v>40</v>
      </c>
      <c r="AJ15" s="14">
        <v>20</v>
      </c>
      <c r="AK15" s="14">
        <f t="shared" ref="AK15:AK16" si="10">28*2*2</f>
        <v>112</v>
      </c>
      <c r="AL15" s="14">
        <v>28</v>
      </c>
      <c r="AM15" s="14">
        <f t="shared" si="6"/>
        <v>53760</v>
      </c>
      <c r="AN15" s="14"/>
      <c r="AO15" s="14"/>
      <c r="AP15" s="14">
        <f t="shared" si="7"/>
        <v>95961.6</v>
      </c>
    </row>
    <row r="16" s="86" customFormat="1" ht="24.95" customHeight="1" spans="1:42">
      <c r="A16" s="99">
        <v>12</v>
      </c>
      <c r="B16" s="99" t="s">
        <v>370</v>
      </c>
      <c r="C16" s="100" t="s">
        <v>347</v>
      </c>
      <c r="D16" s="103" t="s">
        <v>371</v>
      </c>
      <c r="E16" s="103" t="s">
        <v>372</v>
      </c>
      <c r="F16" s="104" t="s">
        <v>373</v>
      </c>
      <c r="G16" s="105">
        <v>8</v>
      </c>
      <c r="H16" s="102">
        <v>42801</v>
      </c>
      <c r="I16" s="100" t="s">
        <v>374</v>
      </c>
      <c r="J16" s="115">
        <v>16</v>
      </c>
      <c r="K16" s="115">
        <v>11</v>
      </c>
      <c r="L16" s="115">
        <v>420</v>
      </c>
      <c r="M16" s="115">
        <v>11</v>
      </c>
      <c r="N16" s="99">
        <v>7</v>
      </c>
      <c r="O16" s="105">
        <f>17863.2+17863.2*0.13</f>
        <v>20185.416</v>
      </c>
      <c r="P16" s="105">
        <v>1786.32</v>
      </c>
      <c r="Q16" s="105">
        <f t="shared" si="0"/>
        <v>3044.65</v>
      </c>
      <c r="R16" s="105">
        <f t="shared" si="1"/>
        <v>5040</v>
      </c>
      <c r="S16" s="105">
        <f t="shared" si="2"/>
        <v>54000</v>
      </c>
      <c r="T16" s="105">
        <v>5731.2</v>
      </c>
      <c r="U16" s="105">
        <v>1945</v>
      </c>
      <c r="V16" s="105">
        <f t="shared" si="3"/>
        <v>18109.80864</v>
      </c>
      <c r="W16" s="105">
        <v>360</v>
      </c>
      <c r="X16" s="105">
        <v>680</v>
      </c>
      <c r="Y16" s="105">
        <f t="shared" si="4"/>
        <v>1484</v>
      </c>
      <c r="Z16" s="105">
        <v>3210</v>
      </c>
      <c r="AA16" s="105">
        <v>8000</v>
      </c>
      <c r="AB16" s="105">
        <v>960</v>
      </c>
      <c r="AC16" s="105">
        <v>40</v>
      </c>
      <c r="AD16" s="105">
        <f t="shared" si="9"/>
        <v>4320</v>
      </c>
      <c r="AE16" s="105">
        <f t="shared" si="5"/>
        <v>1200</v>
      </c>
      <c r="AF16" s="105">
        <f t="shared" si="8"/>
        <v>108124.65864</v>
      </c>
      <c r="AG16" s="105">
        <f>(G16-1)*AK16*12*通江农村客运车辆成本信息核定表!$I$8</f>
        <v>4798.08</v>
      </c>
      <c r="AH16" s="100" t="s">
        <v>374</v>
      </c>
      <c r="AI16" s="105">
        <v>16</v>
      </c>
      <c r="AJ16" s="105">
        <v>11</v>
      </c>
      <c r="AK16" s="105">
        <f t="shared" si="10"/>
        <v>112</v>
      </c>
      <c r="AL16" s="105">
        <v>28</v>
      </c>
      <c r="AM16" s="105">
        <f t="shared" si="6"/>
        <v>21504</v>
      </c>
      <c r="AN16" s="105"/>
      <c r="AO16" s="105"/>
      <c r="AP16" s="105">
        <f t="shared" si="7"/>
        <v>52778.88</v>
      </c>
    </row>
    <row r="17" s="86" customFormat="1" ht="24.95" customHeight="1" spans="1:42">
      <c r="A17" s="99">
        <v>13</v>
      </c>
      <c r="B17" s="99" t="s">
        <v>380</v>
      </c>
      <c r="C17" s="100" t="s">
        <v>336</v>
      </c>
      <c r="D17" s="103" t="s">
        <v>337</v>
      </c>
      <c r="E17" s="103" t="s">
        <v>381</v>
      </c>
      <c r="F17" s="104" t="s">
        <v>382</v>
      </c>
      <c r="G17" s="14">
        <v>16</v>
      </c>
      <c r="H17" s="102">
        <v>42466</v>
      </c>
      <c r="I17" s="100" t="s">
        <v>383</v>
      </c>
      <c r="J17" s="114">
        <v>170</v>
      </c>
      <c r="K17" s="114">
        <v>58</v>
      </c>
      <c r="L17" s="114">
        <v>740</v>
      </c>
      <c r="M17" s="114">
        <v>58</v>
      </c>
      <c r="N17" s="99">
        <v>7</v>
      </c>
      <c r="O17" s="14">
        <f>141880.3+18444.44</f>
        <v>160324.74</v>
      </c>
      <c r="P17" s="14">
        <v>14188.03</v>
      </c>
      <c r="Q17" s="14">
        <f t="shared" si="0"/>
        <v>24182.48</v>
      </c>
      <c r="R17" s="14">
        <f t="shared" si="1"/>
        <v>8880</v>
      </c>
      <c r="S17" s="14">
        <f t="shared" si="2"/>
        <v>54000</v>
      </c>
      <c r="T17" s="14">
        <v>5731.2</v>
      </c>
      <c r="U17" s="14">
        <v>13300.63</v>
      </c>
      <c r="V17" s="14">
        <f t="shared" si="3"/>
        <v>96208.3584</v>
      </c>
      <c r="W17" s="14">
        <v>360</v>
      </c>
      <c r="X17" s="14">
        <v>680</v>
      </c>
      <c r="Y17" s="14">
        <f t="shared" si="4"/>
        <v>1484</v>
      </c>
      <c r="Z17" s="14">
        <v>4000</v>
      </c>
      <c r="AA17" s="14">
        <v>10500</v>
      </c>
      <c r="AB17" s="14">
        <v>960</v>
      </c>
      <c r="AC17" s="14">
        <v>40</v>
      </c>
      <c r="AD17" s="14">
        <f>450*12</f>
        <v>5400</v>
      </c>
      <c r="AE17" s="14">
        <f t="shared" si="5"/>
        <v>1200</v>
      </c>
      <c r="AF17" s="14">
        <f t="shared" si="8"/>
        <v>226926.6684</v>
      </c>
      <c r="AG17" s="14">
        <f>(G17-1)*AK17*12*通江农村客运车辆成本信息核定表!$I$8</f>
        <v>5140.8</v>
      </c>
      <c r="AH17" s="100" t="s">
        <v>383</v>
      </c>
      <c r="AI17" s="14">
        <v>170</v>
      </c>
      <c r="AJ17" s="14">
        <v>58</v>
      </c>
      <c r="AK17" s="14">
        <f>28*2*1</f>
        <v>56</v>
      </c>
      <c r="AL17" s="14">
        <v>28</v>
      </c>
      <c r="AM17" s="14">
        <f t="shared" si="6"/>
        <v>114240</v>
      </c>
      <c r="AN17" s="14"/>
      <c r="AO17" s="14"/>
      <c r="AP17" s="14">
        <f t="shared" si="7"/>
        <v>298166.4</v>
      </c>
    </row>
    <row r="18" s="86" customFormat="1" ht="24.95" customHeight="1" spans="1:42">
      <c r="A18" s="99">
        <v>14</v>
      </c>
      <c r="B18" s="99" t="s">
        <v>399</v>
      </c>
      <c r="C18" s="100" t="s">
        <v>347</v>
      </c>
      <c r="D18" s="103" t="s">
        <v>400</v>
      </c>
      <c r="E18" s="103" t="s">
        <v>401</v>
      </c>
      <c r="F18" s="104" t="s">
        <v>402</v>
      </c>
      <c r="G18" s="14">
        <v>9</v>
      </c>
      <c r="H18" s="102">
        <v>43230</v>
      </c>
      <c r="I18" s="100" t="s">
        <v>403</v>
      </c>
      <c r="J18" s="114">
        <v>65</v>
      </c>
      <c r="K18" s="114">
        <v>25</v>
      </c>
      <c r="L18" s="114">
        <v>580</v>
      </c>
      <c r="M18" s="114">
        <v>25</v>
      </c>
      <c r="N18" s="99">
        <v>7</v>
      </c>
      <c r="O18" s="14">
        <v>74900</v>
      </c>
      <c r="P18" s="14">
        <v>6401.71</v>
      </c>
      <c r="Q18" s="14">
        <f t="shared" si="0"/>
        <v>11266.09</v>
      </c>
      <c r="R18" s="14">
        <f t="shared" si="1"/>
        <v>6960</v>
      </c>
      <c r="S18" s="14">
        <f t="shared" si="2"/>
        <v>54000</v>
      </c>
      <c r="T18" s="14">
        <v>5731.2</v>
      </c>
      <c r="U18" s="14">
        <v>9654.4</v>
      </c>
      <c r="V18" s="14">
        <f t="shared" si="3"/>
        <v>36785.5488</v>
      </c>
      <c r="W18" s="14">
        <v>360</v>
      </c>
      <c r="X18" s="14">
        <v>680</v>
      </c>
      <c r="Y18" s="14">
        <f t="shared" si="4"/>
        <v>1484</v>
      </c>
      <c r="Z18" s="14">
        <v>3210</v>
      </c>
      <c r="AA18" s="14">
        <v>8000</v>
      </c>
      <c r="AB18" s="14">
        <v>960</v>
      </c>
      <c r="AC18" s="14">
        <v>40</v>
      </c>
      <c r="AD18" s="14">
        <f>360*12</f>
        <v>4320</v>
      </c>
      <c r="AE18" s="14">
        <f t="shared" si="5"/>
        <v>1200</v>
      </c>
      <c r="AF18" s="14">
        <f t="shared" si="8"/>
        <v>144651.2388</v>
      </c>
      <c r="AG18" s="14">
        <f>(G18-1)*AK18*12*通江农村客运车辆成本信息核定表!$I$8</f>
        <v>2741.76</v>
      </c>
      <c r="AH18" s="100" t="s">
        <v>403</v>
      </c>
      <c r="AI18" s="14">
        <v>65</v>
      </c>
      <c r="AJ18" s="14">
        <v>25</v>
      </c>
      <c r="AK18" s="14">
        <f t="shared" ref="AK18" si="11">28*2*1</f>
        <v>56</v>
      </c>
      <c r="AL18" s="14">
        <v>28</v>
      </c>
      <c r="AM18" s="14">
        <f t="shared" si="6"/>
        <v>43680</v>
      </c>
      <c r="AN18" s="14"/>
      <c r="AO18" s="14"/>
      <c r="AP18" s="14">
        <f t="shared" si="7"/>
        <v>68544</v>
      </c>
    </row>
    <row r="19" s="86" customFormat="1" ht="24.95" customHeight="1" spans="1:42">
      <c r="A19" s="99">
        <v>15</v>
      </c>
      <c r="B19" s="99" t="s">
        <v>419</v>
      </c>
      <c r="C19" s="100" t="s">
        <v>336</v>
      </c>
      <c r="D19" s="103" t="s">
        <v>420</v>
      </c>
      <c r="E19" s="103">
        <v>42108</v>
      </c>
      <c r="F19" s="104" t="s">
        <v>421</v>
      </c>
      <c r="G19" s="14">
        <v>11</v>
      </c>
      <c r="H19" s="102">
        <v>42732</v>
      </c>
      <c r="I19" s="100" t="s">
        <v>422</v>
      </c>
      <c r="J19" s="114">
        <v>32</v>
      </c>
      <c r="K19" s="114">
        <v>15</v>
      </c>
      <c r="L19" s="114">
        <v>620</v>
      </c>
      <c r="M19" s="114">
        <v>15</v>
      </c>
      <c r="N19" s="99">
        <v>7</v>
      </c>
      <c r="O19" s="14">
        <v>64709.4</v>
      </c>
      <c r="P19" s="14">
        <v>5726.5</v>
      </c>
      <c r="Q19" s="14">
        <f t="shared" si="0"/>
        <v>9760.4</v>
      </c>
      <c r="R19" s="14">
        <f t="shared" si="1"/>
        <v>7440</v>
      </c>
      <c r="S19" s="14">
        <f t="shared" si="2"/>
        <v>54000</v>
      </c>
      <c r="T19" s="14">
        <v>5731.2</v>
      </c>
      <c r="U19" s="14">
        <v>10827.35</v>
      </c>
      <c r="V19" s="14">
        <f t="shared" si="3"/>
        <v>36219.61728</v>
      </c>
      <c r="W19" s="14">
        <v>360</v>
      </c>
      <c r="X19" s="14">
        <v>680</v>
      </c>
      <c r="Y19" s="14">
        <f t="shared" si="4"/>
        <v>1484</v>
      </c>
      <c r="Z19" s="14">
        <v>3210</v>
      </c>
      <c r="AA19" s="14">
        <v>8200</v>
      </c>
      <c r="AB19" s="14">
        <v>960</v>
      </c>
      <c r="AC19" s="14">
        <v>40</v>
      </c>
      <c r="AD19" s="14">
        <f>400*12</f>
        <v>4800</v>
      </c>
      <c r="AE19" s="14">
        <f t="shared" si="5"/>
        <v>1200</v>
      </c>
      <c r="AF19" s="14">
        <f t="shared" si="8"/>
        <v>144912.56728</v>
      </c>
      <c r="AG19" s="14">
        <f>(G19-1)*AK19*12*通江农村客运车辆成本信息核定表!$I$8</f>
        <v>6854.4</v>
      </c>
      <c r="AH19" s="100" t="s">
        <v>422</v>
      </c>
      <c r="AI19" s="14">
        <v>32</v>
      </c>
      <c r="AJ19" s="14">
        <v>15</v>
      </c>
      <c r="AK19" s="14">
        <f>28*2*2</f>
        <v>112</v>
      </c>
      <c r="AL19" s="14">
        <v>28</v>
      </c>
      <c r="AM19" s="14">
        <f t="shared" si="6"/>
        <v>43008</v>
      </c>
      <c r="AN19" s="14"/>
      <c r="AO19" s="14"/>
      <c r="AP19" s="14">
        <f t="shared" si="7"/>
        <v>102816</v>
      </c>
    </row>
    <row r="20" s="86" customFormat="1" ht="24.95" customHeight="1" spans="1:42">
      <c r="A20" s="99">
        <v>16</v>
      </c>
      <c r="B20" s="99" t="s">
        <v>423</v>
      </c>
      <c r="C20" s="100" t="s">
        <v>347</v>
      </c>
      <c r="D20" s="103" t="s">
        <v>424</v>
      </c>
      <c r="E20" s="103">
        <v>124620</v>
      </c>
      <c r="F20" s="104" t="s">
        <v>425</v>
      </c>
      <c r="G20" s="14">
        <v>10</v>
      </c>
      <c r="H20" s="102">
        <v>42898</v>
      </c>
      <c r="I20" s="100" t="s">
        <v>426</v>
      </c>
      <c r="J20" s="114">
        <v>36</v>
      </c>
      <c r="K20" s="114">
        <v>17</v>
      </c>
      <c r="L20" s="114">
        <v>580</v>
      </c>
      <c r="M20" s="114">
        <v>17</v>
      </c>
      <c r="N20" s="99">
        <v>7</v>
      </c>
      <c r="O20" s="14">
        <v>69000</v>
      </c>
      <c r="P20" s="14">
        <v>5897.44</v>
      </c>
      <c r="Q20" s="14">
        <f t="shared" si="0"/>
        <v>10378.65</v>
      </c>
      <c r="R20" s="14">
        <f t="shared" si="1"/>
        <v>6960</v>
      </c>
      <c r="S20" s="14">
        <f t="shared" si="2"/>
        <v>54000</v>
      </c>
      <c r="T20" s="14">
        <v>5731.2</v>
      </c>
      <c r="U20" s="14">
        <v>9714.4</v>
      </c>
      <c r="V20" s="14">
        <f t="shared" si="3"/>
        <v>40747.06944</v>
      </c>
      <c r="W20" s="14">
        <v>360</v>
      </c>
      <c r="X20" s="14">
        <v>680</v>
      </c>
      <c r="Y20" s="14">
        <f t="shared" si="4"/>
        <v>1484</v>
      </c>
      <c r="Z20" s="14">
        <v>3210</v>
      </c>
      <c r="AA20" s="14">
        <v>8200</v>
      </c>
      <c r="AB20" s="14">
        <v>960</v>
      </c>
      <c r="AC20" s="14">
        <v>40</v>
      </c>
      <c r="AD20" s="14">
        <f>400*12</f>
        <v>4800</v>
      </c>
      <c r="AE20" s="14">
        <f t="shared" si="5"/>
        <v>1200</v>
      </c>
      <c r="AF20" s="14">
        <f t="shared" si="8"/>
        <v>148465.31944</v>
      </c>
      <c r="AG20" s="14">
        <f>(G20-1)*AK20*12*通江农村客运车辆成本信息核定表!$I$8</f>
        <v>6168.96</v>
      </c>
      <c r="AH20" s="100" t="s">
        <v>426</v>
      </c>
      <c r="AI20" s="14">
        <v>36</v>
      </c>
      <c r="AJ20" s="14">
        <v>17</v>
      </c>
      <c r="AK20" s="14">
        <f>28*2*2</f>
        <v>112</v>
      </c>
      <c r="AL20" s="14">
        <v>28</v>
      </c>
      <c r="AM20" s="14">
        <f t="shared" si="6"/>
        <v>48384</v>
      </c>
      <c r="AN20" s="14"/>
      <c r="AO20" s="14"/>
      <c r="AP20" s="14">
        <f t="shared" si="7"/>
        <v>104872.32</v>
      </c>
    </row>
    <row r="21" s="87" customFormat="1" ht="24.95" customHeight="1" spans="1:42">
      <c r="A21" s="106" t="s">
        <v>216</v>
      </c>
      <c r="B21" s="107"/>
      <c r="C21" s="108"/>
      <c r="D21" s="109"/>
      <c r="E21" s="110"/>
      <c r="F21" s="110"/>
      <c r="G21" s="19">
        <f t="shared" ref="G21:AG21" si="12">SUM(G5:G20)</f>
        <v>194</v>
      </c>
      <c r="H21" s="19"/>
      <c r="I21" s="19">
        <f t="shared" si="12"/>
        <v>0</v>
      </c>
      <c r="J21" s="19">
        <f t="shared" si="12"/>
        <v>985</v>
      </c>
      <c r="K21" s="19">
        <f t="shared" si="12"/>
        <v>388</v>
      </c>
      <c r="L21" s="19">
        <f t="shared" si="12"/>
        <v>9960</v>
      </c>
      <c r="M21" s="19">
        <f t="shared" si="12"/>
        <v>388</v>
      </c>
      <c r="N21" s="19">
        <f t="shared" si="12"/>
        <v>112</v>
      </c>
      <c r="O21" s="19">
        <f t="shared" si="12"/>
        <v>1387519.556</v>
      </c>
      <c r="P21" s="19">
        <f t="shared" si="12"/>
        <v>120243.64</v>
      </c>
      <c r="Q21" s="19">
        <f t="shared" si="12"/>
        <v>208932.89</v>
      </c>
      <c r="R21" s="19">
        <f t="shared" si="12"/>
        <v>119520</v>
      </c>
      <c r="S21" s="19">
        <f t="shared" si="12"/>
        <v>864000</v>
      </c>
      <c r="T21" s="19">
        <f t="shared" si="12"/>
        <v>91699.2</v>
      </c>
      <c r="U21" s="19">
        <f t="shared" si="12"/>
        <v>174116.45</v>
      </c>
      <c r="V21" s="19">
        <f t="shared" si="12"/>
        <v>752122.99008</v>
      </c>
      <c r="W21" s="19">
        <f t="shared" si="12"/>
        <v>5760</v>
      </c>
      <c r="X21" s="19">
        <f t="shared" si="12"/>
        <v>10880</v>
      </c>
      <c r="Y21" s="19">
        <f t="shared" si="12"/>
        <v>23744</v>
      </c>
      <c r="Z21" s="19">
        <f t="shared" si="12"/>
        <v>55100</v>
      </c>
      <c r="AA21" s="19">
        <f t="shared" si="12"/>
        <v>139800</v>
      </c>
      <c r="AB21" s="19">
        <f t="shared" si="12"/>
        <v>15360</v>
      </c>
      <c r="AC21" s="19">
        <f t="shared" si="12"/>
        <v>640</v>
      </c>
      <c r="AD21" s="19">
        <f t="shared" si="12"/>
        <v>79920</v>
      </c>
      <c r="AE21" s="19">
        <f t="shared" si="12"/>
        <v>19200</v>
      </c>
      <c r="AF21" s="19">
        <f t="shared" si="12"/>
        <v>2560795.53008</v>
      </c>
      <c r="AG21" s="19">
        <f t="shared" si="12"/>
        <v>98360.64</v>
      </c>
      <c r="AH21" s="33" t="s">
        <v>216</v>
      </c>
      <c r="AI21" s="19">
        <f t="shared" ref="AI21:AP21" si="13">SUM(AI5:AI20)</f>
        <v>985</v>
      </c>
      <c r="AJ21" s="19">
        <f t="shared" si="13"/>
        <v>388</v>
      </c>
      <c r="AK21" s="19">
        <f t="shared" si="13"/>
        <v>1456</v>
      </c>
      <c r="AL21" s="19">
        <f t="shared" si="13"/>
        <v>448</v>
      </c>
      <c r="AM21" s="19">
        <f t="shared" si="13"/>
        <v>893088</v>
      </c>
      <c r="AN21" s="19">
        <f t="shared" si="13"/>
        <v>0</v>
      </c>
      <c r="AO21" s="19">
        <f t="shared" si="13"/>
        <v>0</v>
      </c>
      <c r="AP21" s="19">
        <f t="shared" si="13"/>
        <v>2101559.04</v>
      </c>
    </row>
    <row r="22" s="87" customFormat="1" ht="24.95" customHeight="1" spans="1:42">
      <c r="A22" s="18" t="s">
        <v>217</v>
      </c>
      <c r="B22" s="16"/>
      <c r="C22" s="108"/>
      <c r="D22" s="109"/>
      <c r="E22" s="110"/>
      <c r="F22" s="110"/>
      <c r="G22" s="19">
        <f>ROUND(G21/$A$24,2)</f>
        <v>12.13</v>
      </c>
      <c r="H22" s="19"/>
      <c r="I22" s="19">
        <f>ROUND(I21/$A$24,2)</f>
        <v>0</v>
      </c>
      <c r="J22" s="19">
        <f>ROUND(J21/$A$24,2)</f>
        <v>61.56</v>
      </c>
      <c r="K22" s="19">
        <f>ROUND(K21/$A$24,2)</f>
        <v>24.25</v>
      </c>
      <c r="L22" s="19">
        <f>ROUND(L21/$A$24,2)</f>
        <v>622.5</v>
      </c>
      <c r="M22" s="19">
        <f>ROUND(M21/$A$24,2)</f>
        <v>24.25</v>
      </c>
      <c r="N22" s="19">
        <f>ROUND(N21/$A$24,2)</f>
        <v>7</v>
      </c>
      <c r="O22" s="19">
        <f>ROUND(O21/$A$24,2)</f>
        <v>86719.97</v>
      </c>
      <c r="P22" s="19">
        <f>ROUND(P21/$A$24,2)</f>
        <v>7515.23</v>
      </c>
      <c r="Q22" s="19">
        <f>ROUND(Q21/$A$24,2)</f>
        <v>13058.31</v>
      </c>
      <c r="R22" s="19">
        <f t="shared" ref="R22:AE22" si="14">ROUND(R21/$A$24,2)</f>
        <v>7470</v>
      </c>
      <c r="S22" s="19">
        <f t="shared" si="14"/>
        <v>54000</v>
      </c>
      <c r="T22" s="19">
        <f t="shared" si="14"/>
        <v>5731.2</v>
      </c>
      <c r="U22" s="19">
        <f t="shared" si="14"/>
        <v>10882.28</v>
      </c>
      <c r="V22" s="19">
        <f t="shared" si="14"/>
        <v>47007.69</v>
      </c>
      <c r="W22" s="19">
        <f t="shared" si="14"/>
        <v>360</v>
      </c>
      <c r="X22" s="19">
        <f t="shared" si="14"/>
        <v>680</v>
      </c>
      <c r="Y22" s="19">
        <f t="shared" si="14"/>
        <v>1484</v>
      </c>
      <c r="Z22" s="19">
        <f t="shared" si="14"/>
        <v>3443.75</v>
      </c>
      <c r="AA22" s="19">
        <f t="shared" si="14"/>
        <v>8737.5</v>
      </c>
      <c r="AB22" s="19">
        <f t="shared" si="14"/>
        <v>960</v>
      </c>
      <c r="AC22" s="19">
        <f t="shared" si="14"/>
        <v>40</v>
      </c>
      <c r="AD22" s="19">
        <f t="shared" si="14"/>
        <v>4995</v>
      </c>
      <c r="AE22" s="19">
        <f t="shared" si="14"/>
        <v>1200</v>
      </c>
      <c r="AF22" s="19">
        <f>ROUND(AF21/$A$24,2)+0.01</f>
        <v>160049.73</v>
      </c>
      <c r="AG22" s="19">
        <f>AG21/$A$24</f>
        <v>6147.54</v>
      </c>
      <c r="AH22" s="33" t="s">
        <v>217</v>
      </c>
      <c r="AI22" s="19">
        <f t="shared" ref="AI22:AP22" si="15">ROUND(AI21/$A$24,2)</f>
        <v>61.56</v>
      </c>
      <c r="AJ22" s="19">
        <f t="shared" si="15"/>
        <v>24.25</v>
      </c>
      <c r="AK22" s="19">
        <f t="shared" si="15"/>
        <v>91</v>
      </c>
      <c r="AL22" s="19">
        <f t="shared" si="15"/>
        <v>28</v>
      </c>
      <c r="AM22" s="19">
        <f t="shared" si="15"/>
        <v>55818</v>
      </c>
      <c r="AN22" s="19">
        <f t="shared" si="15"/>
        <v>0</v>
      </c>
      <c r="AO22" s="19">
        <f t="shared" si="15"/>
        <v>0</v>
      </c>
      <c r="AP22" s="19">
        <f t="shared" si="15"/>
        <v>131347.44</v>
      </c>
    </row>
    <row r="23" ht="36.75" customHeight="1"/>
    <row r="24" ht="36.75" customHeight="1" spans="1:2">
      <c r="A24" s="88">
        <v>16</v>
      </c>
      <c r="B24" s="89">
        <v>12</v>
      </c>
    </row>
    <row r="25" ht="36.75" customHeight="1"/>
  </sheetData>
  <sheetProtection formatCells="0" insertHyperlinks="0" autoFilter="0"/>
  <autoFilter ref="A4:AV22">
    <extLst/>
  </autoFilter>
  <mergeCells count="5">
    <mergeCell ref="A2:Z2"/>
    <mergeCell ref="AA2:AP2"/>
    <mergeCell ref="X3:Z3"/>
    <mergeCell ref="A21:B21"/>
    <mergeCell ref="A22:B22"/>
  </mergeCells>
  <printOptions horizontalCentered="1"/>
  <pageMargins left="0.554861111111111" right="0.554861111111111" top="0.60625" bottom="0.409027777777778" header="0.5" footer="0.5"/>
  <pageSetup paperSize="9" scale="76" pageOrder="overThenDown" orientation="landscape" horizontalDpi="600"/>
  <headerFooter>
    <oddFooter>&amp;C第 &amp;P 页，共 &amp;N 页</oddFooter>
  </headerFooter>
  <rowBreaks count="1" manualBreakCount="1">
    <brk id="22" max="41" man="1"/>
  </rowBreaks>
  <colBreaks count="1" manualBreakCount="1">
    <brk id="26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7"/>
  <sheetViews>
    <sheetView showZeros="0" view="pageBreakPreview" zoomScaleNormal="100" zoomScaleSheetLayoutView="100" topLeftCell="G1" workbookViewId="0">
      <selection activeCell="I8" sqref="I8"/>
    </sheetView>
  </sheetViews>
  <sheetFormatPr defaultColWidth="8.88333333333333" defaultRowHeight="13.5"/>
  <cols>
    <col min="1" max="1" width="4" style="41" customWidth="1"/>
    <col min="2" max="2" width="8.25" style="41" customWidth="1"/>
    <col min="3" max="3" width="10.25" style="41" customWidth="1"/>
    <col min="4" max="4" width="11.6333333333333" style="42" customWidth="1"/>
    <col min="5" max="5" width="4.88333333333333" style="41" customWidth="1"/>
    <col min="6" max="6" width="8.38333333333333" style="41" customWidth="1"/>
    <col min="7" max="7" width="7.63333333333333" style="41" customWidth="1"/>
    <col min="8" max="8" width="5" style="41" customWidth="1"/>
    <col min="9" max="9" width="4.5" style="41" customWidth="1"/>
    <col min="10" max="10" width="7.63333333333333" style="43" customWidth="1"/>
    <col min="11" max="11" width="7" style="43" customWidth="1"/>
    <col min="12" max="12" width="7.13333333333333" style="43" customWidth="1"/>
    <col min="13" max="13" width="6" style="43" customWidth="1"/>
    <col min="14" max="14" width="7.38333333333333" style="43" customWidth="1"/>
    <col min="15" max="15" width="6.63333333333333" style="43" customWidth="1"/>
    <col min="16" max="16" width="6.75" style="43" customWidth="1"/>
    <col min="17" max="17" width="7.13333333333333" style="43" customWidth="1"/>
    <col min="18" max="19" width="6.13333333333333" style="43" customWidth="1"/>
    <col min="20" max="20" width="6.38333333333333" style="43" customWidth="1"/>
    <col min="21" max="22" width="6.75" style="43" customWidth="1"/>
    <col min="23" max="23" width="7.13333333333333" style="43" customWidth="1"/>
    <col min="24" max="24" width="6" style="43" customWidth="1"/>
    <col min="25" max="26" width="7.13333333333333" style="43" customWidth="1"/>
    <col min="27" max="28" width="7.13333333333333" style="41" customWidth="1"/>
    <col min="29" max="29" width="9.13333333333333" style="41" customWidth="1"/>
    <col min="30" max="37" width="7.13333333333333" style="41" customWidth="1"/>
    <col min="38" max="39" width="9.63333333333333" style="41"/>
    <col min="40" max="16384" width="8.88333333333333" style="41"/>
  </cols>
  <sheetData>
    <row r="1" spans="1:1">
      <c r="A1" s="5" t="s">
        <v>434</v>
      </c>
    </row>
    <row r="2" s="37" customFormat="1" ht="42" customHeight="1" spans="1:37">
      <c r="A2" s="44" t="s">
        <v>111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 t="s">
        <v>111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="38" customFormat="1" ht="24.95" customHeight="1" spans="1:37">
      <c r="A3" s="45" t="s">
        <v>435</v>
      </c>
      <c r="B3" s="45"/>
      <c r="C3" s="46"/>
      <c r="D3" s="47"/>
      <c r="E3" s="46"/>
      <c r="F3" s="46"/>
      <c r="G3" s="46"/>
      <c r="H3" s="46"/>
      <c r="I3" s="46"/>
      <c r="J3" s="69"/>
      <c r="K3" s="69"/>
      <c r="L3" s="69"/>
      <c r="M3" s="69"/>
      <c r="N3" s="69"/>
      <c r="O3" s="69"/>
      <c r="P3" s="69"/>
      <c r="Q3" s="69"/>
      <c r="R3" s="69"/>
      <c r="S3" s="69"/>
      <c r="T3" s="73" t="s">
        <v>113</v>
      </c>
      <c r="U3" s="73"/>
      <c r="V3" s="73"/>
      <c r="W3" s="69"/>
      <c r="X3" s="69"/>
      <c r="Y3" s="69"/>
      <c r="Z3" s="69"/>
      <c r="AA3" s="75"/>
      <c r="AB3" s="75"/>
      <c r="AC3" s="75"/>
      <c r="AK3" s="82" t="s">
        <v>113</v>
      </c>
    </row>
    <row r="4" s="39" customFormat="1" ht="42" customHeight="1" spans="1:38">
      <c r="A4" s="48" t="s">
        <v>114</v>
      </c>
      <c r="B4" s="48" t="s">
        <v>115</v>
      </c>
      <c r="C4" s="48" t="s">
        <v>118</v>
      </c>
      <c r="D4" s="48" t="s">
        <v>119</v>
      </c>
      <c r="E4" s="48" t="s">
        <v>120</v>
      </c>
      <c r="F4" s="48" t="s">
        <v>121</v>
      </c>
      <c r="G4" s="48" t="s">
        <v>230</v>
      </c>
      <c r="H4" s="49" t="s">
        <v>124</v>
      </c>
      <c r="I4" s="49" t="s">
        <v>125</v>
      </c>
      <c r="J4" s="70" t="s">
        <v>126</v>
      </c>
      <c r="K4" s="70" t="s">
        <v>127</v>
      </c>
      <c r="L4" s="70" t="s">
        <v>128</v>
      </c>
      <c r="M4" s="71" t="s">
        <v>129</v>
      </c>
      <c r="N4" s="70" t="s">
        <v>232</v>
      </c>
      <c r="O4" s="72" t="s">
        <v>131</v>
      </c>
      <c r="P4" s="72" t="s">
        <v>132</v>
      </c>
      <c r="Q4" s="72" t="s">
        <v>133</v>
      </c>
      <c r="R4" s="72" t="s">
        <v>134</v>
      </c>
      <c r="S4" s="72" t="s">
        <v>135</v>
      </c>
      <c r="T4" s="72" t="s">
        <v>136</v>
      </c>
      <c r="U4" s="72" t="s">
        <v>137</v>
      </c>
      <c r="V4" s="72" t="s">
        <v>138</v>
      </c>
      <c r="W4" s="74" t="s">
        <v>139</v>
      </c>
      <c r="X4" s="74" t="s">
        <v>140</v>
      </c>
      <c r="Y4" s="74" t="s">
        <v>233</v>
      </c>
      <c r="Z4" s="74" t="s">
        <v>234</v>
      </c>
      <c r="AA4" s="72" t="s">
        <v>141</v>
      </c>
      <c r="AB4" s="72" t="s">
        <v>142</v>
      </c>
      <c r="AC4" s="76" t="s">
        <v>122</v>
      </c>
      <c r="AD4" s="77" t="s">
        <v>143</v>
      </c>
      <c r="AE4" s="76" t="s">
        <v>144</v>
      </c>
      <c r="AF4" s="77" t="s">
        <v>145</v>
      </c>
      <c r="AG4" s="77" t="s">
        <v>146</v>
      </c>
      <c r="AH4" s="77" t="s">
        <v>147</v>
      </c>
      <c r="AI4" s="77" t="s">
        <v>148</v>
      </c>
      <c r="AJ4" s="77" t="s">
        <v>149</v>
      </c>
      <c r="AK4" s="77" t="s">
        <v>150</v>
      </c>
      <c r="AL4" s="83"/>
    </row>
    <row r="5" s="39" customFormat="1" ht="24.95" customHeight="1" spans="1:37">
      <c r="A5" s="50">
        <v>1</v>
      </c>
      <c r="B5" s="51" t="s">
        <v>436</v>
      </c>
      <c r="C5" s="52" t="s">
        <v>437</v>
      </c>
      <c r="D5" s="53">
        <v>43803</v>
      </c>
      <c r="E5" s="54">
        <v>19</v>
      </c>
      <c r="F5" s="55" t="s">
        <v>174</v>
      </c>
      <c r="G5" s="56" t="s">
        <v>438</v>
      </c>
      <c r="H5" s="14">
        <v>15</v>
      </c>
      <c r="I5" s="14">
        <v>7</v>
      </c>
      <c r="J5" s="14">
        <v>154000</v>
      </c>
      <c r="K5" s="14">
        <v>13628.32</v>
      </c>
      <c r="L5" s="14">
        <f>ROUND((J5+K5)*0.97/I5,2)</f>
        <v>23228.5</v>
      </c>
      <c r="M5" s="14">
        <f>(680-80)*12</f>
        <v>7200</v>
      </c>
      <c r="N5" s="14">
        <f t="shared" ref="N5:N13" si="0">4500*12</f>
        <v>54000</v>
      </c>
      <c r="O5" s="14">
        <v>8198.4</v>
      </c>
      <c r="P5" s="14">
        <f>2096+480+3056.22+6840</f>
        <v>12472.22</v>
      </c>
      <c r="Q5" s="14">
        <f>AH5*7.5*0.16*1.1</f>
        <v>26611.2</v>
      </c>
      <c r="R5" s="14">
        <v>360</v>
      </c>
      <c r="S5" s="14">
        <v>1000</v>
      </c>
      <c r="T5" s="14">
        <f>371*4</f>
        <v>1484</v>
      </c>
      <c r="U5" s="14">
        <v>2920</v>
      </c>
      <c r="V5" s="14">
        <v>8800</v>
      </c>
      <c r="W5" s="14">
        <f>80*12</f>
        <v>960</v>
      </c>
      <c r="X5" s="14">
        <v>40</v>
      </c>
      <c r="Y5" s="14">
        <f t="shared" ref="Y5:Y13" si="1">360*12</f>
        <v>4320</v>
      </c>
      <c r="Z5" s="14">
        <f>100*12</f>
        <v>1200</v>
      </c>
      <c r="AA5" s="19">
        <f>SUM(L5:Z5)</f>
        <v>152794.32</v>
      </c>
      <c r="AB5" s="14">
        <f>(E5-1)*AF5*12*通江农村客运车辆成本信息核定表!$K$8</f>
        <v>14031.36</v>
      </c>
      <c r="AC5" s="56" t="s">
        <v>438</v>
      </c>
      <c r="AD5" s="14">
        <v>15</v>
      </c>
      <c r="AE5" s="14">
        <v>5</v>
      </c>
      <c r="AF5" s="14">
        <f>AG5*2*2</f>
        <v>112</v>
      </c>
      <c r="AG5" s="14">
        <v>28</v>
      </c>
      <c r="AH5" s="14">
        <f>AF5*AD5*12</f>
        <v>20160</v>
      </c>
      <c r="AI5" s="14"/>
      <c r="AJ5" s="14"/>
      <c r="AK5" s="14">
        <f>AB5*AE5</f>
        <v>70156.8</v>
      </c>
    </row>
    <row r="6" s="39" customFormat="1" ht="24.95" customHeight="1" spans="1:37">
      <c r="A6" s="50">
        <v>2</v>
      </c>
      <c r="B6" s="51" t="s">
        <v>439</v>
      </c>
      <c r="C6" s="52" t="s">
        <v>440</v>
      </c>
      <c r="D6" s="53">
        <v>43808</v>
      </c>
      <c r="E6" s="54">
        <v>9</v>
      </c>
      <c r="F6" s="55" t="s">
        <v>194</v>
      </c>
      <c r="G6" s="56" t="s">
        <v>202</v>
      </c>
      <c r="H6" s="14">
        <v>40</v>
      </c>
      <c r="I6" s="14">
        <v>7</v>
      </c>
      <c r="J6" s="14">
        <v>88300</v>
      </c>
      <c r="K6" s="14">
        <v>7814.16</v>
      </c>
      <c r="L6" s="14">
        <f t="shared" ref="L6:L13" si="2">ROUND((J6+K6)*0.97/I6,2)</f>
        <v>13318.68</v>
      </c>
      <c r="M6" s="14">
        <f>(580-80)*12</f>
        <v>6000</v>
      </c>
      <c r="N6" s="14">
        <f t="shared" si="0"/>
        <v>54000</v>
      </c>
      <c r="O6" s="14">
        <v>8198.4</v>
      </c>
      <c r="P6" s="14">
        <f>2115+360+1642.25+4050</f>
        <v>8167.25</v>
      </c>
      <c r="Q6" s="14">
        <f>AH6*7.5*0.12*1.1</f>
        <v>53222.4</v>
      </c>
      <c r="R6" s="14">
        <v>360</v>
      </c>
      <c r="S6" s="14">
        <v>680</v>
      </c>
      <c r="T6" s="14">
        <f t="shared" ref="T6:T13" si="3">371*4</f>
        <v>1484</v>
      </c>
      <c r="U6" s="14">
        <v>5100</v>
      </c>
      <c r="V6" s="14">
        <v>10000</v>
      </c>
      <c r="W6" s="14">
        <f t="shared" ref="W6:W13" si="4">80*12</f>
        <v>960</v>
      </c>
      <c r="X6" s="14">
        <v>40</v>
      </c>
      <c r="Y6" s="14">
        <f t="shared" si="1"/>
        <v>4320</v>
      </c>
      <c r="Z6" s="14">
        <f t="shared" ref="Z6:Z13" si="5">100*12</f>
        <v>1200</v>
      </c>
      <c r="AA6" s="19">
        <f t="shared" ref="AA6:AA15" si="6">SUM(L6:Z6)</f>
        <v>167050.73</v>
      </c>
      <c r="AB6" s="14">
        <f>(E6-1)*AF6*12*通江农村客运车辆成本信息核定表!$K$8</f>
        <v>6236.16</v>
      </c>
      <c r="AC6" s="56" t="s">
        <v>202</v>
      </c>
      <c r="AD6" s="14">
        <v>40</v>
      </c>
      <c r="AE6" s="14">
        <v>17</v>
      </c>
      <c r="AF6" s="14">
        <f>AG6*2*2</f>
        <v>112</v>
      </c>
      <c r="AG6" s="14">
        <v>28</v>
      </c>
      <c r="AH6" s="14">
        <f t="shared" ref="AH6:AH13" si="7">AF6*AD6*12</f>
        <v>53760</v>
      </c>
      <c r="AI6" s="14"/>
      <c r="AJ6" s="14"/>
      <c r="AK6" s="14">
        <f t="shared" ref="AK6:AK13" si="8">AB6*AE6</f>
        <v>106014.72</v>
      </c>
    </row>
    <row r="7" s="39" customFormat="1" ht="24.95" customHeight="1" spans="1:37">
      <c r="A7" s="50">
        <v>3</v>
      </c>
      <c r="B7" s="51" t="s">
        <v>441</v>
      </c>
      <c r="C7" s="52" t="s">
        <v>395</v>
      </c>
      <c r="D7" s="53">
        <v>43811</v>
      </c>
      <c r="E7" s="54">
        <v>14</v>
      </c>
      <c r="F7" s="55" t="s">
        <v>174</v>
      </c>
      <c r="G7" s="56" t="s">
        <v>442</v>
      </c>
      <c r="H7" s="14">
        <v>33</v>
      </c>
      <c r="I7" s="14">
        <v>7</v>
      </c>
      <c r="J7" s="14">
        <v>131500</v>
      </c>
      <c r="K7" s="14">
        <v>11637.17</v>
      </c>
      <c r="L7" s="14">
        <f t="shared" si="2"/>
        <v>19834.72</v>
      </c>
      <c r="M7" s="14">
        <f>(580-80)*12</f>
        <v>6000</v>
      </c>
      <c r="N7" s="14">
        <f t="shared" si="0"/>
        <v>54000</v>
      </c>
      <c r="O7" s="14">
        <v>8198.4</v>
      </c>
      <c r="P7" s="14">
        <f>2358+480+5355+2762.85</f>
        <v>10955.85</v>
      </c>
      <c r="Q7" s="14">
        <f>AH7*7.5*0.14*1.1</f>
        <v>51226.56</v>
      </c>
      <c r="R7" s="14">
        <v>360</v>
      </c>
      <c r="S7" s="14">
        <v>680</v>
      </c>
      <c r="T7" s="14">
        <f t="shared" si="3"/>
        <v>1484</v>
      </c>
      <c r="U7" s="14">
        <v>2320</v>
      </c>
      <c r="V7" s="14">
        <v>8500</v>
      </c>
      <c r="W7" s="14">
        <f t="shared" si="4"/>
        <v>960</v>
      </c>
      <c r="X7" s="14">
        <v>40</v>
      </c>
      <c r="Y7" s="14">
        <f t="shared" si="1"/>
        <v>4320</v>
      </c>
      <c r="Z7" s="14">
        <f t="shared" si="5"/>
        <v>1200</v>
      </c>
      <c r="AA7" s="19">
        <f t="shared" si="6"/>
        <v>170079.53</v>
      </c>
      <c r="AB7" s="14">
        <f>(E7-1)*AF7*12*通江农村客运车辆成本信息核定表!$K$8</f>
        <v>10133.76</v>
      </c>
      <c r="AC7" s="56" t="s">
        <v>442</v>
      </c>
      <c r="AD7" s="14">
        <v>33</v>
      </c>
      <c r="AE7" s="14">
        <v>12</v>
      </c>
      <c r="AF7" s="14">
        <f>AG7*2*2</f>
        <v>112</v>
      </c>
      <c r="AG7" s="14">
        <v>28</v>
      </c>
      <c r="AH7" s="14">
        <f t="shared" si="7"/>
        <v>44352</v>
      </c>
      <c r="AI7" s="14"/>
      <c r="AJ7" s="14"/>
      <c r="AK7" s="14">
        <f t="shared" si="8"/>
        <v>121605.12</v>
      </c>
    </row>
    <row r="8" s="39" customFormat="1" ht="24.95" customHeight="1" spans="1:37">
      <c r="A8" s="50">
        <v>4</v>
      </c>
      <c r="B8" s="51" t="s">
        <v>443</v>
      </c>
      <c r="C8" s="52" t="s">
        <v>444</v>
      </c>
      <c r="D8" s="53">
        <v>44013</v>
      </c>
      <c r="E8" s="54">
        <v>9</v>
      </c>
      <c r="F8" s="55" t="s">
        <v>194</v>
      </c>
      <c r="G8" s="56" t="s">
        <v>445</v>
      </c>
      <c r="H8" s="14">
        <v>120</v>
      </c>
      <c r="I8" s="14">
        <v>7</v>
      </c>
      <c r="J8" s="14">
        <v>84800</v>
      </c>
      <c r="K8" s="14">
        <v>7504.43</v>
      </c>
      <c r="L8" s="14">
        <f t="shared" si="2"/>
        <v>12790.76</v>
      </c>
      <c r="M8" s="14">
        <f>(700-80)*12</f>
        <v>7440</v>
      </c>
      <c r="N8" s="14">
        <f t="shared" si="0"/>
        <v>54000</v>
      </c>
      <c r="O8" s="14">
        <v>8198.4</v>
      </c>
      <c r="P8" s="14">
        <f>1766.73+2115+360+4860</f>
        <v>9101.73</v>
      </c>
      <c r="Q8" s="14">
        <f>AH8*7.5*0.12*1.1</f>
        <v>79833.6</v>
      </c>
      <c r="R8" s="14">
        <v>360</v>
      </c>
      <c r="S8" s="14">
        <v>680</v>
      </c>
      <c r="T8" s="14">
        <f t="shared" si="3"/>
        <v>1484</v>
      </c>
      <c r="U8" s="14">
        <v>2320</v>
      </c>
      <c r="V8" s="14">
        <v>8300</v>
      </c>
      <c r="W8" s="14">
        <f t="shared" si="4"/>
        <v>960</v>
      </c>
      <c r="X8" s="14">
        <v>40</v>
      </c>
      <c r="Y8" s="14">
        <f t="shared" si="1"/>
        <v>4320</v>
      </c>
      <c r="Z8" s="14">
        <f t="shared" si="5"/>
        <v>1200</v>
      </c>
      <c r="AA8" s="19">
        <f t="shared" si="6"/>
        <v>191028.49</v>
      </c>
      <c r="AB8" s="14">
        <f>(E8-1)*AF8*12*通江农村客运车辆成本信息核定表!$K$8</f>
        <v>3118.08</v>
      </c>
      <c r="AC8" s="56" t="s">
        <v>445</v>
      </c>
      <c r="AD8" s="14">
        <v>120</v>
      </c>
      <c r="AE8" s="14">
        <v>70</v>
      </c>
      <c r="AF8" s="14">
        <f>AG8*1*2</f>
        <v>56</v>
      </c>
      <c r="AG8" s="14">
        <v>28</v>
      </c>
      <c r="AH8" s="14">
        <f t="shared" si="7"/>
        <v>80640</v>
      </c>
      <c r="AI8" s="14"/>
      <c r="AJ8" s="14"/>
      <c r="AK8" s="14">
        <f t="shared" si="8"/>
        <v>218265.6</v>
      </c>
    </row>
    <row r="9" s="39" customFormat="1" ht="24.95" customHeight="1" spans="1:37">
      <c r="A9" s="50">
        <v>5</v>
      </c>
      <c r="B9" s="51" t="s">
        <v>446</v>
      </c>
      <c r="C9" s="52" t="s">
        <v>353</v>
      </c>
      <c r="D9" s="57">
        <v>44044</v>
      </c>
      <c r="E9" s="50">
        <v>7</v>
      </c>
      <c r="F9" s="55" t="s">
        <v>194</v>
      </c>
      <c r="G9" s="56" t="s">
        <v>447</v>
      </c>
      <c r="H9" s="14">
        <v>16</v>
      </c>
      <c r="I9" s="14">
        <v>7</v>
      </c>
      <c r="J9" s="14">
        <v>48950</v>
      </c>
      <c r="K9" s="14">
        <v>4331.86</v>
      </c>
      <c r="L9" s="14">
        <f t="shared" si="2"/>
        <v>7383.34</v>
      </c>
      <c r="M9" s="14">
        <f>(300-80)*12</f>
        <v>2640</v>
      </c>
      <c r="N9" s="14">
        <f t="shared" si="0"/>
        <v>54000</v>
      </c>
      <c r="O9" s="14">
        <v>8198.4</v>
      </c>
      <c r="P9" s="14">
        <f>1947.37+3960+2115+300</f>
        <v>8322.37</v>
      </c>
      <c r="Q9" s="14">
        <f>AH9*7.5*0.12*1.1</f>
        <v>21288.96</v>
      </c>
      <c r="R9" s="14">
        <v>360</v>
      </c>
      <c r="S9" s="14">
        <v>680</v>
      </c>
      <c r="T9" s="14">
        <f t="shared" si="3"/>
        <v>1484</v>
      </c>
      <c r="U9" s="14">
        <v>2320</v>
      </c>
      <c r="V9" s="14">
        <v>5500</v>
      </c>
      <c r="W9" s="14">
        <f t="shared" si="4"/>
        <v>960</v>
      </c>
      <c r="X9" s="14">
        <v>40</v>
      </c>
      <c r="Y9" s="14">
        <f t="shared" si="1"/>
        <v>4320</v>
      </c>
      <c r="Z9" s="14">
        <f t="shared" si="5"/>
        <v>1200</v>
      </c>
      <c r="AA9" s="19">
        <f t="shared" si="6"/>
        <v>118697.07</v>
      </c>
      <c r="AB9" s="14">
        <f>(E9-1)*AF9*12*通江农村客运车辆成本信息核定表!$K$8</f>
        <v>4677.12</v>
      </c>
      <c r="AC9" s="56" t="s">
        <v>447</v>
      </c>
      <c r="AD9" s="14">
        <v>16</v>
      </c>
      <c r="AE9" s="14">
        <v>5</v>
      </c>
      <c r="AF9" s="14">
        <f>AG9*2*2</f>
        <v>112</v>
      </c>
      <c r="AG9" s="14">
        <v>28</v>
      </c>
      <c r="AH9" s="14">
        <f t="shared" si="7"/>
        <v>21504</v>
      </c>
      <c r="AI9" s="14"/>
      <c r="AJ9" s="14"/>
      <c r="AK9" s="14">
        <f t="shared" si="8"/>
        <v>23385.6</v>
      </c>
    </row>
    <row r="10" s="39" customFormat="1" ht="24.95" customHeight="1" spans="1:37">
      <c r="A10" s="50">
        <v>6</v>
      </c>
      <c r="B10" s="51" t="s">
        <v>448</v>
      </c>
      <c r="C10" s="52" t="s">
        <v>308</v>
      </c>
      <c r="D10" s="53">
        <v>44060</v>
      </c>
      <c r="E10" s="54">
        <v>9</v>
      </c>
      <c r="F10" s="55" t="s">
        <v>194</v>
      </c>
      <c r="G10" s="56" t="s">
        <v>449</v>
      </c>
      <c r="H10" s="14">
        <v>25</v>
      </c>
      <c r="I10" s="14">
        <v>7</v>
      </c>
      <c r="J10" s="14">
        <v>76000</v>
      </c>
      <c r="K10" s="14">
        <v>6725.66</v>
      </c>
      <c r="L10" s="14">
        <f t="shared" si="2"/>
        <v>11463.41</v>
      </c>
      <c r="M10" s="14">
        <f>(580-80)*12</f>
        <v>6000</v>
      </c>
      <c r="N10" s="14">
        <f t="shared" si="0"/>
        <v>54000</v>
      </c>
      <c r="O10" s="14">
        <v>8198.4</v>
      </c>
      <c r="P10" s="14">
        <f>1766.73+2115+300+4360</f>
        <v>8541.73</v>
      </c>
      <c r="Q10" s="14">
        <f>AH10*7.5*0.12*1.1</f>
        <v>33264</v>
      </c>
      <c r="R10" s="14">
        <v>360</v>
      </c>
      <c r="S10" s="14">
        <v>680</v>
      </c>
      <c r="T10" s="14">
        <f t="shared" si="3"/>
        <v>1484</v>
      </c>
      <c r="U10" s="14">
        <v>2320</v>
      </c>
      <c r="V10" s="14">
        <v>6800</v>
      </c>
      <c r="W10" s="14">
        <f t="shared" si="4"/>
        <v>960</v>
      </c>
      <c r="X10" s="14">
        <v>40</v>
      </c>
      <c r="Y10" s="14">
        <f t="shared" si="1"/>
        <v>4320</v>
      </c>
      <c r="Z10" s="14">
        <f t="shared" si="5"/>
        <v>1200</v>
      </c>
      <c r="AA10" s="19">
        <f t="shared" si="6"/>
        <v>139631.54</v>
      </c>
      <c r="AB10" s="14">
        <f>(E10-1)*AF10*12*通江农村客运车辆成本信息核定表!$K$8</f>
        <v>6236.16</v>
      </c>
      <c r="AC10" s="56" t="s">
        <v>449</v>
      </c>
      <c r="AD10" s="14">
        <v>25</v>
      </c>
      <c r="AE10" s="14">
        <v>10</v>
      </c>
      <c r="AF10" s="14">
        <f>AG10*2*2</f>
        <v>112</v>
      </c>
      <c r="AG10" s="14">
        <v>28</v>
      </c>
      <c r="AH10" s="14">
        <f t="shared" si="7"/>
        <v>33600</v>
      </c>
      <c r="AI10" s="14"/>
      <c r="AJ10" s="14"/>
      <c r="AK10" s="14">
        <f t="shared" si="8"/>
        <v>62361.6</v>
      </c>
    </row>
    <row r="11" s="39" customFormat="1" ht="24.95" customHeight="1" spans="1:37">
      <c r="A11" s="50">
        <v>7</v>
      </c>
      <c r="B11" s="51" t="s">
        <v>450</v>
      </c>
      <c r="C11" s="52" t="s">
        <v>451</v>
      </c>
      <c r="D11" s="53">
        <v>44116</v>
      </c>
      <c r="E11" s="54">
        <v>17</v>
      </c>
      <c r="F11" s="55" t="s">
        <v>174</v>
      </c>
      <c r="G11" s="56" t="s">
        <v>452</v>
      </c>
      <c r="H11" s="14">
        <v>140</v>
      </c>
      <c r="I11" s="14">
        <v>7</v>
      </c>
      <c r="J11" s="14">
        <v>195000</v>
      </c>
      <c r="K11" s="14">
        <v>17256.64</v>
      </c>
      <c r="L11" s="14">
        <f t="shared" si="2"/>
        <v>29412.71</v>
      </c>
      <c r="M11" s="14">
        <f>(600-80)*12</f>
        <v>6240</v>
      </c>
      <c r="N11" s="14">
        <f t="shared" si="0"/>
        <v>54000</v>
      </c>
      <c r="O11" s="14">
        <v>8198.4</v>
      </c>
      <c r="P11" s="14">
        <f>3681.71+8160+2620+480</f>
        <v>14941.71</v>
      </c>
      <c r="Q11" s="14">
        <f>AH11*7.5*0.16*1.1</f>
        <v>124185.6</v>
      </c>
      <c r="R11" s="14">
        <v>360</v>
      </c>
      <c r="S11" s="14">
        <v>680</v>
      </c>
      <c r="T11" s="14">
        <f t="shared" si="3"/>
        <v>1484</v>
      </c>
      <c r="U11" s="14">
        <v>2320</v>
      </c>
      <c r="V11" s="14">
        <v>9800</v>
      </c>
      <c r="W11" s="14">
        <f t="shared" si="4"/>
        <v>960</v>
      </c>
      <c r="X11" s="14">
        <v>40</v>
      </c>
      <c r="Y11" s="14">
        <f t="shared" si="1"/>
        <v>4320</v>
      </c>
      <c r="Z11" s="14">
        <f t="shared" si="5"/>
        <v>1200</v>
      </c>
      <c r="AA11" s="19">
        <f t="shared" si="6"/>
        <v>258142.42</v>
      </c>
      <c r="AB11" s="14">
        <f>(E11-1)*AF11*12*通江农村客运车辆成本信息核定表!$K$8</f>
        <v>6236.16</v>
      </c>
      <c r="AC11" s="56" t="s">
        <v>452</v>
      </c>
      <c r="AD11" s="14">
        <v>140</v>
      </c>
      <c r="AE11" s="14">
        <v>50</v>
      </c>
      <c r="AF11" s="14">
        <f>AG11*1*2</f>
        <v>56</v>
      </c>
      <c r="AG11" s="14">
        <v>28</v>
      </c>
      <c r="AH11" s="14">
        <f t="shared" si="7"/>
        <v>94080</v>
      </c>
      <c r="AI11" s="14"/>
      <c r="AJ11" s="14"/>
      <c r="AK11" s="14">
        <f t="shared" si="8"/>
        <v>311808</v>
      </c>
    </row>
    <row r="12" s="39" customFormat="1" ht="24.95" customHeight="1" spans="1:37">
      <c r="A12" s="50">
        <v>8</v>
      </c>
      <c r="B12" s="51" t="s">
        <v>453</v>
      </c>
      <c r="C12" s="52" t="s">
        <v>454</v>
      </c>
      <c r="D12" s="53">
        <v>44165</v>
      </c>
      <c r="E12" s="54">
        <v>8</v>
      </c>
      <c r="F12" s="55" t="s">
        <v>194</v>
      </c>
      <c r="G12" s="56" t="s">
        <v>455</v>
      </c>
      <c r="H12" s="14">
        <v>27</v>
      </c>
      <c r="I12" s="14">
        <v>7</v>
      </c>
      <c r="J12" s="14">
        <v>63300</v>
      </c>
      <c r="K12" s="14">
        <v>5601.77</v>
      </c>
      <c r="L12" s="14">
        <f t="shared" si="2"/>
        <v>9547.82</v>
      </c>
      <c r="M12" s="14">
        <f>(300-80)*12</f>
        <v>2640</v>
      </c>
      <c r="N12" s="14">
        <f t="shared" si="0"/>
        <v>54000</v>
      </c>
      <c r="O12" s="14">
        <v>8198.4</v>
      </c>
      <c r="P12" s="14">
        <f>1814.76+3600+2115+300</f>
        <v>7829.76</v>
      </c>
      <c r="Q12" s="14">
        <f>AH12*7.5*0.12*1.1</f>
        <v>35925.12</v>
      </c>
      <c r="R12" s="14">
        <v>360</v>
      </c>
      <c r="S12" s="14">
        <v>680</v>
      </c>
      <c r="T12" s="14">
        <f t="shared" si="3"/>
        <v>1484</v>
      </c>
      <c r="U12" s="14">
        <v>2320</v>
      </c>
      <c r="V12" s="14">
        <v>4500</v>
      </c>
      <c r="W12" s="14">
        <f t="shared" si="4"/>
        <v>960</v>
      </c>
      <c r="X12" s="14">
        <v>40</v>
      </c>
      <c r="Y12" s="14">
        <f t="shared" si="1"/>
        <v>4320</v>
      </c>
      <c r="Z12" s="14">
        <f t="shared" si="5"/>
        <v>1200</v>
      </c>
      <c r="AA12" s="19">
        <f t="shared" si="6"/>
        <v>134005.1</v>
      </c>
      <c r="AB12" s="14">
        <f>(E12-1)*AF12*12*通江农村客运车辆成本信息核定表!$K$8</f>
        <v>5456.64</v>
      </c>
      <c r="AC12" s="56" t="s">
        <v>455</v>
      </c>
      <c r="AD12" s="14">
        <v>27</v>
      </c>
      <c r="AE12" s="14">
        <v>17</v>
      </c>
      <c r="AF12" s="14">
        <f>AG12*2*2</f>
        <v>112</v>
      </c>
      <c r="AG12" s="14">
        <v>28</v>
      </c>
      <c r="AH12" s="14">
        <f t="shared" si="7"/>
        <v>36288</v>
      </c>
      <c r="AI12" s="14"/>
      <c r="AJ12" s="14"/>
      <c r="AK12" s="14">
        <f t="shared" si="8"/>
        <v>92762.88</v>
      </c>
    </row>
    <row r="13" s="39" customFormat="1" ht="24.95" customHeight="1" spans="1:37">
      <c r="A13" s="50">
        <v>9</v>
      </c>
      <c r="B13" s="51" t="s">
        <v>456</v>
      </c>
      <c r="C13" s="52" t="s">
        <v>298</v>
      </c>
      <c r="D13" s="53">
        <v>44356</v>
      </c>
      <c r="E13" s="54">
        <v>14</v>
      </c>
      <c r="F13" s="55" t="s">
        <v>174</v>
      </c>
      <c r="G13" s="56" t="s">
        <v>457</v>
      </c>
      <c r="H13" s="14">
        <v>116</v>
      </c>
      <c r="I13" s="14">
        <v>7</v>
      </c>
      <c r="J13" s="14">
        <v>151000</v>
      </c>
      <c r="K13" s="14">
        <v>13362.83</v>
      </c>
      <c r="L13" s="14">
        <f t="shared" si="2"/>
        <v>22775.99</v>
      </c>
      <c r="M13" s="14">
        <f>(580-80)*12</f>
        <v>6000</v>
      </c>
      <c r="N13" s="14">
        <f t="shared" si="0"/>
        <v>54000</v>
      </c>
      <c r="O13" s="14">
        <v>8198.4</v>
      </c>
      <c r="P13" s="14">
        <f>5174.11+2620+140+8400</f>
        <v>16334.11</v>
      </c>
      <c r="Q13" s="14">
        <f>AH13*7.5*0.12*1.1</f>
        <v>77172.48</v>
      </c>
      <c r="R13" s="14">
        <v>360</v>
      </c>
      <c r="S13" s="14">
        <v>680</v>
      </c>
      <c r="T13" s="14">
        <f t="shared" si="3"/>
        <v>1484</v>
      </c>
      <c r="U13" s="14">
        <v>2320</v>
      </c>
      <c r="V13" s="14">
        <v>8300</v>
      </c>
      <c r="W13" s="14">
        <f t="shared" si="4"/>
        <v>960</v>
      </c>
      <c r="X13" s="14">
        <v>40</v>
      </c>
      <c r="Y13" s="14">
        <f t="shared" si="1"/>
        <v>4320</v>
      </c>
      <c r="Z13" s="14">
        <f t="shared" si="5"/>
        <v>1200</v>
      </c>
      <c r="AA13" s="19">
        <f t="shared" si="6"/>
        <v>204144.98</v>
      </c>
      <c r="AB13" s="14">
        <f>(E13-1)*AF13*12*通江农村客运车辆成本信息核定表!$K$8</f>
        <v>5066.88</v>
      </c>
      <c r="AC13" s="56" t="s">
        <v>457</v>
      </c>
      <c r="AD13" s="14">
        <v>116</v>
      </c>
      <c r="AE13" s="14">
        <v>40</v>
      </c>
      <c r="AF13" s="14">
        <f>AG13*1*2</f>
        <v>56</v>
      </c>
      <c r="AG13" s="14">
        <v>28</v>
      </c>
      <c r="AH13" s="14">
        <f t="shared" si="7"/>
        <v>77952</v>
      </c>
      <c r="AI13" s="14"/>
      <c r="AJ13" s="14"/>
      <c r="AK13" s="14">
        <f t="shared" si="8"/>
        <v>202675.2</v>
      </c>
    </row>
    <row r="14" s="40" customFormat="1" ht="24.95" customHeight="1" spans="1:38">
      <c r="A14" s="58" t="s">
        <v>216</v>
      </c>
      <c r="B14" s="58"/>
      <c r="C14" s="58"/>
      <c r="D14" s="58"/>
      <c r="E14" s="19">
        <f>SUM(E3:E13)</f>
        <v>106</v>
      </c>
      <c r="F14" s="59"/>
      <c r="G14" s="59"/>
      <c r="H14" s="19">
        <f>SUM(H3:H13)</f>
        <v>532</v>
      </c>
      <c r="I14" s="19">
        <f>SUM(I3:I13)</f>
        <v>63</v>
      </c>
      <c r="J14" s="19">
        <f>SUM(J5:J13)</f>
        <v>992850</v>
      </c>
      <c r="K14" s="19">
        <f t="shared" ref="K14:Z14" si="9">SUM(K5:K13)</f>
        <v>87862.84</v>
      </c>
      <c r="L14" s="19">
        <f t="shared" si="9"/>
        <v>149755.93</v>
      </c>
      <c r="M14" s="19">
        <f t="shared" si="9"/>
        <v>50160</v>
      </c>
      <c r="N14" s="19">
        <f t="shared" si="9"/>
        <v>486000</v>
      </c>
      <c r="O14" s="19">
        <f t="shared" si="9"/>
        <v>73785.6</v>
      </c>
      <c r="P14" s="19">
        <f t="shared" si="9"/>
        <v>96666.73</v>
      </c>
      <c r="Q14" s="19">
        <f t="shared" si="9"/>
        <v>502729.92</v>
      </c>
      <c r="R14" s="19">
        <f t="shared" si="9"/>
        <v>3240</v>
      </c>
      <c r="S14" s="19">
        <f t="shared" si="9"/>
        <v>6440</v>
      </c>
      <c r="T14" s="19">
        <f t="shared" si="9"/>
        <v>13356</v>
      </c>
      <c r="U14" s="19">
        <f t="shared" si="9"/>
        <v>24260</v>
      </c>
      <c r="V14" s="19">
        <f t="shared" si="9"/>
        <v>70500</v>
      </c>
      <c r="W14" s="19">
        <f t="shared" si="9"/>
        <v>8640</v>
      </c>
      <c r="X14" s="19">
        <f t="shared" si="9"/>
        <v>360</v>
      </c>
      <c r="Y14" s="19">
        <f t="shared" si="9"/>
        <v>38880</v>
      </c>
      <c r="Z14" s="19">
        <f t="shared" si="9"/>
        <v>10800</v>
      </c>
      <c r="AA14" s="19">
        <f t="shared" si="6"/>
        <v>1535574.18</v>
      </c>
      <c r="AB14" s="19">
        <f>SUM(AB5:AB13)</f>
        <v>61192.32</v>
      </c>
      <c r="AC14" s="79" t="s">
        <v>216</v>
      </c>
      <c r="AD14" s="19">
        <f t="shared" ref="AD14:AK14" si="10">SUM(AD5:AD13)</f>
        <v>532</v>
      </c>
      <c r="AE14" s="19">
        <f t="shared" si="10"/>
        <v>226</v>
      </c>
      <c r="AF14" s="19">
        <f t="shared" si="10"/>
        <v>840</v>
      </c>
      <c r="AG14" s="19">
        <f t="shared" si="10"/>
        <v>252</v>
      </c>
      <c r="AH14" s="19">
        <f t="shared" si="10"/>
        <v>462336</v>
      </c>
      <c r="AI14" s="19">
        <f t="shared" si="10"/>
        <v>0</v>
      </c>
      <c r="AJ14" s="19">
        <f t="shared" si="10"/>
        <v>0</v>
      </c>
      <c r="AK14" s="19">
        <f t="shared" si="10"/>
        <v>1209035.52</v>
      </c>
      <c r="AL14" s="39"/>
    </row>
    <row r="15" s="40" customFormat="1" ht="29.1" customHeight="1" spans="1:37">
      <c r="A15" s="60" t="s">
        <v>217</v>
      </c>
      <c r="B15" s="61"/>
      <c r="C15" s="58"/>
      <c r="D15" s="58"/>
      <c r="E15" s="62">
        <f>ROUND(E14/$A$17,2)</f>
        <v>11.78</v>
      </c>
      <c r="F15" s="59"/>
      <c r="G15" s="59"/>
      <c r="H15" s="19">
        <f>ROUND(H14/$A$17,2)</f>
        <v>59.11</v>
      </c>
      <c r="I15" s="19">
        <f>ROUND(I14/$A$17,2)</f>
        <v>7</v>
      </c>
      <c r="J15" s="19">
        <f t="shared" ref="J15:AB15" si="11">ROUND(J14/$A$17,2)</f>
        <v>110316.67</v>
      </c>
      <c r="K15" s="19">
        <f t="shared" si="11"/>
        <v>9762.54</v>
      </c>
      <c r="L15" s="19">
        <f t="shared" si="11"/>
        <v>16639.55</v>
      </c>
      <c r="M15" s="19">
        <f t="shared" si="11"/>
        <v>5573.33</v>
      </c>
      <c r="N15" s="19">
        <f t="shared" si="11"/>
        <v>54000</v>
      </c>
      <c r="O15" s="19">
        <f t="shared" si="11"/>
        <v>8198.4</v>
      </c>
      <c r="P15" s="19">
        <f t="shared" si="11"/>
        <v>10740.75</v>
      </c>
      <c r="Q15" s="19">
        <f t="shared" si="11"/>
        <v>55858.88</v>
      </c>
      <c r="R15" s="19">
        <f t="shared" si="11"/>
        <v>360</v>
      </c>
      <c r="S15" s="19">
        <f t="shared" si="11"/>
        <v>715.56</v>
      </c>
      <c r="T15" s="19">
        <f t="shared" si="11"/>
        <v>1484</v>
      </c>
      <c r="U15" s="19">
        <f t="shared" si="11"/>
        <v>2695.56</v>
      </c>
      <c r="V15" s="19">
        <f t="shared" si="11"/>
        <v>7833.33</v>
      </c>
      <c r="W15" s="19">
        <f t="shared" si="11"/>
        <v>960</v>
      </c>
      <c r="X15" s="19">
        <f t="shared" si="11"/>
        <v>40</v>
      </c>
      <c r="Y15" s="19">
        <f t="shared" si="11"/>
        <v>4320</v>
      </c>
      <c r="Z15" s="19">
        <f t="shared" si="11"/>
        <v>1200</v>
      </c>
      <c r="AA15" s="19">
        <f>ROUND(AA14/$A$17,2)+0.01</f>
        <v>170619.36</v>
      </c>
      <c r="AB15" s="19">
        <f t="shared" si="11"/>
        <v>6799.15</v>
      </c>
      <c r="AC15" s="80" t="s">
        <v>217</v>
      </c>
      <c r="AD15" s="19">
        <f t="shared" ref="AD15:AK15" si="12">ROUND(AD14/$A$17,2)</f>
        <v>59.11</v>
      </c>
      <c r="AE15" s="19">
        <f t="shared" si="12"/>
        <v>25.11</v>
      </c>
      <c r="AF15" s="19">
        <f t="shared" si="12"/>
        <v>93.33</v>
      </c>
      <c r="AG15" s="19">
        <f t="shared" si="12"/>
        <v>28</v>
      </c>
      <c r="AH15" s="19">
        <f t="shared" si="12"/>
        <v>51370.67</v>
      </c>
      <c r="AI15" s="19">
        <f t="shared" si="12"/>
        <v>0</v>
      </c>
      <c r="AJ15" s="19">
        <f t="shared" si="12"/>
        <v>0</v>
      </c>
      <c r="AK15" s="19">
        <f t="shared" si="12"/>
        <v>134337.28</v>
      </c>
    </row>
    <row r="17" ht="22" customHeight="1" spans="1:1">
      <c r="A17" s="41">
        <v>9</v>
      </c>
    </row>
  </sheetData>
  <sheetProtection formatCells="0" insertHyperlinks="0" autoFilter="0"/>
  <mergeCells count="5">
    <mergeCell ref="A2:W2"/>
    <mergeCell ref="X2:AK2"/>
    <mergeCell ref="T3:V3"/>
    <mergeCell ref="A14:B14"/>
    <mergeCell ref="A15:B15"/>
  </mergeCells>
  <printOptions horizontalCentered="1"/>
  <pageMargins left="0.751388888888889" right="0.554861111111111" top="0.802777777777778" bottom="0.802777777777778" header="0.5" footer="0.5"/>
  <pageSetup paperSize="9" scale="87" pageOrder="overThenDown" orientation="landscape" horizontalDpi="600"/>
  <headerFooter>
    <oddFooter>&amp;C第 &amp;P 页，共 &amp;N 页</oddFooter>
  </headerFooter>
  <colBreaks count="1" manualBreakCount="1">
    <brk id="22" max="1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7"/>
  <sheetViews>
    <sheetView showZeros="0" view="pageBreakPreview" zoomScaleNormal="100" zoomScaleSheetLayoutView="100" topLeftCell="G1" workbookViewId="0">
      <selection activeCell="A1" sqref="A1"/>
    </sheetView>
  </sheetViews>
  <sheetFormatPr defaultColWidth="8.88333333333333" defaultRowHeight="13.5"/>
  <cols>
    <col min="1" max="1" width="4" style="41" customWidth="1"/>
    <col min="2" max="2" width="7.225" style="41" customWidth="1"/>
    <col min="3" max="3" width="10.25" style="41" customWidth="1"/>
    <col min="4" max="4" width="10.8916666666667" style="42" customWidth="1"/>
    <col min="5" max="5" width="4.88333333333333" style="41" customWidth="1"/>
    <col min="6" max="6" width="9.225" style="41" customWidth="1"/>
    <col min="7" max="7" width="7.63333333333333" style="41" customWidth="1"/>
    <col min="8" max="8" width="5" style="41" customWidth="1"/>
    <col min="9" max="9" width="4.5" style="41" customWidth="1"/>
    <col min="10" max="10" width="7.63333333333333" style="43" customWidth="1"/>
    <col min="11" max="11" width="7" style="43" customWidth="1"/>
    <col min="12" max="12" width="7.13333333333333" style="43" customWidth="1"/>
    <col min="13" max="13" width="6" style="43" customWidth="1"/>
    <col min="14" max="14" width="7.38333333333333" style="43" customWidth="1"/>
    <col min="15" max="15" width="6.63333333333333" style="43" customWidth="1"/>
    <col min="16" max="16" width="6.75" style="43" customWidth="1"/>
    <col min="17" max="17" width="7.13333333333333" style="43" customWidth="1"/>
    <col min="18" max="19" width="6.13333333333333" style="43" customWidth="1"/>
    <col min="20" max="20" width="6.38333333333333" style="43" customWidth="1"/>
    <col min="21" max="22" width="6.75" style="43" customWidth="1"/>
    <col min="23" max="23" width="7.13333333333333" style="43" customWidth="1"/>
    <col min="24" max="24" width="6" style="43" customWidth="1"/>
    <col min="25" max="26" width="7.13333333333333" style="43" customWidth="1"/>
    <col min="27" max="28" width="7.13333333333333" style="41" customWidth="1"/>
    <col min="29" max="29" width="9.13333333333333" style="41" customWidth="1"/>
    <col min="30" max="37" width="7.13333333333333" style="41" customWidth="1"/>
    <col min="38" max="16384" width="8.88333333333333" style="41"/>
  </cols>
  <sheetData>
    <row r="1" spans="1:1">
      <c r="A1" s="5" t="s">
        <v>458</v>
      </c>
    </row>
    <row r="2" s="37" customFormat="1" ht="42" customHeight="1" spans="1:37">
      <c r="A2" s="44" t="s">
        <v>219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 t="s">
        <v>219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="38" customFormat="1" ht="24.95" customHeight="1" spans="1:37">
      <c r="A3" s="45" t="s">
        <v>435</v>
      </c>
      <c r="B3" s="45"/>
      <c r="C3" s="46"/>
      <c r="D3" s="47"/>
      <c r="E3" s="46"/>
      <c r="F3" s="46"/>
      <c r="G3" s="46"/>
      <c r="H3" s="46"/>
      <c r="I3" s="46"/>
      <c r="J3" s="69"/>
      <c r="K3" s="69"/>
      <c r="L3" s="69"/>
      <c r="M3" s="69"/>
      <c r="N3" s="69"/>
      <c r="O3" s="69"/>
      <c r="P3" s="69"/>
      <c r="Q3" s="69"/>
      <c r="R3" s="69"/>
      <c r="S3" s="69"/>
      <c r="T3" s="73" t="s">
        <v>113</v>
      </c>
      <c r="U3" s="73"/>
      <c r="V3" s="73"/>
      <c r="W3" s="69"/>
      <c r="X3" s="69"/>
      <c r="Y3" s="69"/>
      <c r="Z3" s="69"/>
      <c r="AA3" s="75"/>
      <c r="AB3" s="75"/>
      <c r="AC3" s="75"/>
      <c r="AK3" s="82" t="s">
        <v>113</v>
      </c>
    </row>
    <row r="4" s="39" customFormat="1" ht="42" customHeight="1" spans="1:38">
      <c r="A4" s="48" t="s">
        <v>114</v>
      </c>
      <c r="B4" s="48" t="s">
        <v>115</v>
      </c>
      <c r="C4" s="48" t="s">
        <v>118</v>
      </c>
      <c r="D4" s="48" t="s">
        <v>119</v>
      </c>
      <c r="E4" s="48" t="s">
        <v>120</v>
      </c>
      <c r="F4" s="48" t="s">
        <v>121</v>
      </c>
      <c r="G4" s="48" t="s">
        <v>230</v>
      </c>
      <c r="H4" s="49" t="s">
        <v>124</v>
      </c>
      <c r="I4" s="49" t="s">
        <v>125</v>
      </c>
      <c r="J4" s="70" t="s">
        <v>126</v>
      </c>
      <c r="K4" s="70" t="s">
        <v>127</v>
      </c>
      <c r="L4" s="70" t="s">
        <v>128</v>
      </c>
      <c r="M4" s="71" t="s">
        <v>129</v>
      </c>
      <c r="N4" s="70" t="s">
        <v>232</v>
      </c>
      <c r="O4" s="72" t="s">
        <v>131</v>
      </c>
      <c r="P4" s="72" t="s">
        <v>132</v>
      </c>
      <c r="Q4" s="72" t="s">
        <v>133</v>
      </c>
      <c r="R4" s="72" t="s">
        <v>134</v>
      </c>
      <c r="S4" s="72" t="s">
        <v>135</v>
      </c>
      <c r="T4" s="72" t="s">
        <v>136</v>
      </c>
      <c r="U4" s="72" t="s">
        <v>137</v>
      </c>
      <c r="V4" s="72" t="s">
        <v>138</v>
      </c>
      <c r="W4" s="74" t="s">
        <v>139</v>
      </c>
      <c r="X4" s="74" t="s">
        <v>140</v>
      </c>
      <c r="Y4" s="74" t="s">
        <v>233</v>
      </c>
      <c r="Z4" s="74" t="s">
        <v>234</v>
      </c>
      <c r="AA4" s="72" t="s">
        <v>141</v>
      </c>
      <c r="AB4" s="72" t="s">
        <v>142</v>
      </c>
      <c r="AC4" s="76" t="s">
        <v>122</v>
      </c>
      <c r="AD4" s="77" t="s">
        <v>143</v>
      </c>
      <c r="AE4" s="76" t="s">
        <v>144</v>
      </c>
      <c r="AF4" s="77" t="s">
        <v>145</v>
      </c>
      <c r="AG4" s="77" t="s">
        <v>146</v>
      </c>
      <c r="AH4" s="77" t="s">
        <v>147</v>
      </c>
      <c r="AI4" s="77" t="s">
        <v>148</v>
      </c>
      <c r="AJ4" s="77" t="s">
        <v>149</v>
      </c>
      <c r="AK4" s="77" t="s">
        <v>150</v>
      </c>
      <c r="AL4" s="83"/>
    </row>
    <row r="5" s="39" customFormat="1" ht="24.95" customHeight="1" spans="1:37">
      <c r="A5" s="50">
        <v>1</v>
      </c>
      <c r="B5" s="51" t="s">
        <v>436</v>
      </c>
      <c r="C5" s="52" t="s">
        <v>437</v>
      </c>
      <c r="D5" s="53">
        <v>43803</v>
      </c>
      <c r="E5" s="54">
        <v>19</v>
      </c>
      <c r="F5" s="55" t="s">
        <v>174</v>
      </c>
      <c r="G5" s="56" t="s">
        <v>438</v>
      </c>
      <c r="H5" s="14">
        <v>15</v>
      </c>
      <c r="I5" s="14">
        <v>7</v>
      </c>
      <c r="J5" s="14">
        <v>154000</v>
      </c>
      <c r="K5" s="14">
        <v>13628.32</v>
      </c>
      <c r="L5" s="14">
        <f>ROUND((J5+K5)*0.97/I5,2)</f>
        <v>23228.5</v>
      </c>
      <c r="M5" s="14">
        <f>(680-80)*12</f>
        <v>7200</v>
      </c>
      <c r="N5" s="14">
        <f t="shared" ref="N5:N12" si="0">4200*12</f>
        <v>50400</v>
      </c>
      <c r="O5" s="14">
        <v>6472.8</v>
      </c>
      <c r="P5" s="14">
        <v>11345</v>
      </c>
      <c r="Q5" s="14">
        <f>AH5*6.08*0.16*1.1</f>
        <v>19775.0784</v>
      </c>
      <c r="R5" s="14">
        <v>360</v>
      </c>
      <c r="S5" s="14">
        <v>1000</v>
      </c>
      <c r="T5" s="14">
        <f>371*4</f>
        <v>1484</v>
      </c>
      <c r="U5" s="14">
        <v>2920</v>
      </c>
      <c r="V5" s="14">
        <v>8800</v>
      </c>
      <c r="W5" s="14">
        <f>80*12</f>
        <v>960</v>
      </c>
      <c r="X5" s="14">
        <v>40</v>
      </c>
      <c r="Y5" s="14">
        <f t="shared" ref="Y5:Y12" si="1">360*12</f>
        <v>4320</v>
      </c>
      <c r="Z5" s="14">
        <f>100*12</f>
        <v>1200</v>
      </c>
      <c r="AA5" s="19">
        <f>SUM(L5:Z5)</f>
        <v>139505.3784</v>
      </c>
      <c r="AB5" s="78">
        <f>(E5-1)*AF5*11*通江农村客运车辆成本信息核定表!$L$8</f>
        <v>11088</v>
      </c>
      <c r="AC5" s="56" t="s">
        <v>438</v>
      </c>
      <c r="AD5" s="14">
        <v>15</v>
      </c>
      <c r="AE5" s="14">
        <v>5</v>
      </c>
      <c r="AF5" s="14">
        <f t="shared" ref="AF5:AF12" si="2">AG5*2*2</f>
        <v>112</v>
      </c>
      <c r="AG5" s="14">
        <v>28</v>
      </c>
      <c r="AH5" s="14">
        <f>AF5*AD5*11</f>
        <v>18480</v>
      </c>
      <c r="AI5" s="14"/>
      <c r="AJ5" s="14"/>
      <c r="AK5" s="78">
        <f>AB5*AE5</f>
        <v>55440</v>
      </c>
    </row>
    <row r="6" s="39" customFormat="1" ht="24.95" customHeight="1" spans="1:37">
      <c r="A6" s="50">
        <v>2</v>
      </c>
      <c r="B6" s="51" t="s">
        <v>439</v>
      </c>
      <c r="C6" s="52" t="s">
        <v>440</v>
      </c>
      <c r="D6" s="53">
        <v>43808</v>
      </c>
      <c r="E6" s="54">
        <v>9</v>
      </c>
      <c r="F6" s="55" t="s">
        <v>194</v>
      </c>
      <c r="G6" s="56" t="s">
        <v>202</v>
      </c>
      <c r="H6" s="14">
        <v>40</v>
      </c>
      <c r="I6" s="14">
        <v>7</v>
      </c>
      <c r="J6" s="14">
        <v>88300</v>
      </c>
      <c r="K6" s="14">
        <v>7814.16</v>
      </c>
      <c r="L6" s="14">
        <f t="shared" ref="L6:L12" si="3">ROUND((J6+K6)*0.97/I6,2)</f>
        <v>13318.68</v>
      </c>
      <c r="M6" s="14">
        <f>(580-80)*12</f>
        <v>6000</v>
      </c>
      <c r="N6" s="14">
        <f t="shared" si="0"/>
        <v>50400</v>
      </c>
      <c r="O6" s="14">
        <v>6472.8</v>
      </c>
      <c r="P6" s="14">
        <v>8950</v>
      </c>
      <c r="Q6" s="14">
        <f t="shared" ref="Q6:Q12" si="4">AH6*6.08*0.16*1.1</f>
        <v>52733.5424</v>
      </c>
      <c r="R6" s="14">
        <v>360</v>
      </c>
      <c r="S6" s="14">
        <v>680</v>
      </c>
      <c r="T6" s="14">
        <f t="shared" ref="T6:T12" si="5">371*4</f>
        <v>1484</v>
      </c>
      <c r="U6" s="14">
        <v>5100</v>
      </c>
      <c r="V6" s="14">
        <v>10000</v>
      </c>
      <c r="W6" s="14">
        <f t="shared" ref="W6:W12" si="6">80*12</f>
        <v>960</v>
      </c>
      <c r="X6" s="14">
        <v>40</v>
      </c>
      <c r="Y6" s="14">
        <f t="shared" si="1"/>
        <v>4320</v>
      </c>
      <c r="Z6" s="14">
        <f t="shared" ref="Z6:Z12" si="7">100*12</f>
        <v>1200</v>
      </c>
      <c r="AA6" s="19">
        <f t="shared" ref="AA6:AA13" si="8">SUM(L6:Z6)</f>
        <v>162019.0224</v>
      </c>
      <c r="AB6" s="78">
        <f>(E6-1)*AF6*11*通江农村客运车辆成本信息核定表!$L$8</f>
        <v>4928</v>
      </c>
      <c r="AC6" s="56" t="s">
        <v>202</v>
      </c>
      <c r="AD6" s="14">
        <v>40</v>
      </c>
      <c r="AE6" s="14">
        <v>17</v>
      </c>
      <c r="AF6" s="14">
        <f t="shared" si="2"/>
        <v>112</v>
      </c>
      <c r="AG6" s="14">
        <v>28</v>
      </c>
      <c r="AH6" s="14">
        <f t="shared" ref="AH6:AH12" si="9">AF6*AD6*11</f>
        <v>49280</v>
      </c>
      <c r="AI6" s="14"/>
      <c r="AJ6" s="14"/>
      <c r="AK6" s="78">
        <f t="shared" ref="AK6:AK12" si="10">AB6*AE6</f>
        <v>83776</v>
      </c>
    </row>
    <row r="7" s="39" customFormat="1" ht="24.95" customHeight="1" spans="1:37">
      <c r="A7" s="50">
        <v>3</v>
      </c>
      <c r="B7" s="51" t="s">
        <v>441</v>
      </c>
      <c r="C7" s="52" t="s">
        <v>395</v>
      </c>
      <c r="D7" s="53">
        <v>43811</v>
      </c>
      <c r="E7" s="54">
        <v>14</v>
      </c>
      <c r="F7" s="55" t="s">
        <v>174</v>
      </c>
      <c r="G7" s="56" t="s">
        <v>442</v>
      </c>
      <c r="H7" s="14">
        <v>33</v>
      </c>
      <c r="I7" s="14">
        <v>7</v>
      </c>
      <c r="J7" s="14">
        <v>131500</v>
      </c>
      <c r="K7" s="14">
        <v>11637.17</v>
      </c>
      <c r="L7" s="14">
        <f t="shared" si="3"/>
        <v>19834.72</v>
      </c>
      <c r="M7" s="14">
        <f>(580-80)*12</f>
        <v>6000</v>
      </c>
      <c r="N7" s="14">
        <f t="shared" si="0"/>
        <v>50400</v>
      </c>
      <c r="O7" s="14">
        <v>6472.8</v>
      </c>
      <c r="P7" s="14">
        <v>9438</v>
      </c>
      <c r="Q7" s="14">
        <f t="shared" si="4"/>
        <v>43505.17248</v>
      </c>
      <c r="R7" s="14">
        <v>360</v>
      </c>
      <c r="S7" s="14">
        <v>680</v>
      </c>
      <c r="T7" s="14">
        <f t="shared" si="5"/>
        <v>1484</v>
      </c>
      <c r="U7" s="14">
        <v>2320</v>
      </c>
      <c r="V7" s="14">
        <v>8500</v>
      </c>
      <c r="W7" s="14">
        <f t="shared" si="6"/>
        <v>960</v>
      </c>
      <c r="X7" s="14">
        <v>40</v>
      </c>
      <c r="Y7" s="14">
        <f t="shared" si="1"/>
        <v>4320</v>
      </c>
      <c r="Z7" s="14">
        <f t="shared" si="7"/>
        <v>1200</v>
      </c>
      <c r="AA7" s="19">
        <f t="shared" si="8"/>
        <v>155514.69248</v>
      </c>
      <c r="AB7" s="78">
        <f>(E7-1)*AF7*11*通江农村客运车辆成本信息核定表!$L$8</f>
        <v>8008</v>
      </c>
      <c r="AC7" s="56" t="s">
        <v>442</v>
      </c>
      <c r="AD7" s="14">
        <v>33</v>
      </c>
      <c r="AE7" s="14">
        <v>12</v>
      </c>
      <c r="AF7" s="14">
        <f t="shared" si="2"/>
        <v>112</v>
      </c>
      <c r="AG7" s="14">
        <v>28</v>
      </c>
      <c r="AH7" s="14">
        <f t="shared" si="9"/>
        <v>40656</v>
      </c>
      <c r="AI7" s="14"/>
      <c r="AJ7" s="14"/>
      <c r="AK7" s="78">
        <f t="shared" si="10"/>
        <v>96096</v>
      </c>
    </row>
    <row r="8" s="39" customFormat="1" ht="24.95" customHeight="1" spans="1:37">
      <c r="A8" s="50">
        <v>4</v>
      </c>
      <c r="B8" s="51" t="s">
        <v>443</v>
      </c>
      <c r="C8" s="52" t="s">
        <v>444</v>
      </c>
      <c r="D8" s="53">
        <v>44013</v>
      </c>
      <c r="E8" s="54">
        <v>9</v>
      </c>
      <c r="F8" s="55" t="s">
        <v>194</v>
      </c>
      <c r="G8" s="56" t="s">
        <v>445</v>
      </c>
      <c r="H8" s="14">
        <v>120</v>
      </c>
      <c r="I8" s="14">
        <v>7</v>
      </c>
      <c r="J8" s="14">
        <v>84800</v>
      </c>
      <c r="K8" s="14">
        <v>7504.43</v>
      </c>
      <c r="L8" s="14">
        <f t="shared" si="3"/>
        <v>12790.76</v>
      </c>
      <c r="M8" s="14">
        <f>(700-80)*12</f>
        <v>7440</v>
      </c>
      <c r="N8" s="14">
        <f t="shared" si="0"/>
        <v>50400</v>
      </c>
      <c r="O8" s="14">
        <v>6472.8</v>
      </c>
      <c r="P8" s="14">
        <v>8950</v>
      </c>
      <c r="Q8" s="14">
        <f t="shared" si="4"/>
        <v>158200.6272</v>
      </c>
      <c r="R8" s="14">
        <v>360</v>
      </c>
      <c r="S8" s="14">
        <v>680</v>
      </c>
      <c r="T8" s="14">
        <f t="shared" si="5"/>
        <v>1484</v>
      </c>
      <c r="U8" s="14">
        <v>2320</v>
      </c>
      <c r="V8" s="14">
        <v>8300</v>
      </c>
      <c r="W8" s="14">
        <f t="shared" si="6"/>
        <v>960</v>
      </c>
      <c r="X8" s="14">
        <v>40</v>
      </c>
      <c r="Y8" s="14">
        <f t="shared" si="1"/>
        <v>4320</v>
      </c>
      <c r="Z8" s="14">
        <f t="shared" si="7"/>
        <v>1200</v>
      </c>
      <c r="AA8" s="19">
        <f t="shared" si="8"/>
        <v>263918.1872</v>
      </c>
      <c r="AB8" s="78">
        <f>(E8-1)*AF8*11*通江农村客运车辆成本信息核定表!$L$8</f>
        <v>4928</v>
      </c>
      <c r="AC8" s="56" t="s">
        <v>445</v>
      </c>
      <c r="AD8" s="14">
        <v>120</v>
      </c>
      <c r="AE8" s="14">
        <v>70</v>
      </c>
      <c r="AF8" s="14">
        <f t="shared" si="2"/>
        <v>112</v>
      </c>
      <c r="AG8" s="14">
        <v>28</v>
      </c>
      <c r="AH8" s="14">
        <f t="shared" si="9"/>
        <v>147840</v>
      </c>
      <c r="AI8" s="14"/>
      <c r="AJ8" s="14"/>
      <c r="AK8" s="78">
        <f t="shared" si="10"/>
        <v>344960</v>
      </c>
    </row>
    <row r="9" s="39" customFormat="1" ht="24.95" customHeight="1" spans="1:37">
      <c r="A9" s="50">
        <v>5</v>
      </c>
      <c r="B9" s="51" t="s">
        <v>446</v>
      </c>
      <c r="C9" s="52" t="s">
        <v>353</v>
      </c>
      <c r="D9" s="57">
        <v>44044</v>
      </c>
      <c r="E9" s="50">
        <v>7</v>
      </c>
      <c r="F9" s="55" t="s">
        <v>194</v>
      </c>
      <c r="G9" s="56" t="s">
        <v>447</v>
      </c>
      <c r="H9" s="14">
        <v>16</v>
      </c>
      <c r="I9" s="14">
        <v>7</v>
      </c>
      <c r="J9" s="14">
        <v>48950</v>
      </c>
      <c r="K9" s="14">
        <v>4331.86</v>
      </c>
      <c r="L9" s="14">
        <f t="shared" si="3"/>
        <v>7383.34</v>
      </c>
      <c r="M9" s="14">
        <f>(300-80)*12</f>
        <v>2640</v>
      </c>
      <c r="N9" s="14">
        <f t="shared" si="0"/>
        <v>50400</v>
      </c>
      <c r="O9" s="14">
        <v>6472.8</v>
      </c>
      <c r="P9" s="14">
        <v>12300</v>
      </c>
      <c r="Q9" s="14">
        <f t="shared" si="4"/>
        <v>21093.41696</v>
      </c>
      <c r="R9" s="14">
        <v>360</v>
      </c>
      <c r="S9" s="14">
        <v>680</v>
      </c>
      <c r="T9" s="14">
        <f t="shared" si="5"/>
        <v>1484</v>
      </c>
      <c r="U9" s="14">
        <v>2320</v>
      </c>
      <c r="V9" s="14">
        <v>5500</v>
      </c>
      <c r="W9" s="14">
        <f t="shared" si="6"/>
        <v>960</v>
      </c>
      <c r="X9" s="14">
        <v>40</v>
      </c>
      <c r="Y9" s="14">
        <f t="shared" si="1"/>
        <v>4320</v>
      </c>
      <c r="Z9" s="14">
        <f t="shared" si="7"/>
        <v>1200</v>
      </c>
      <c r="AA9" s="19">
        <f t="shared" si="8"/>
        <v>117153.55696</v>
      </c>
      <c r="AB9" s="78">
        <f>(E9-1)*AF9*11*通江农村客运车辆成本信息核定表!$L$8</f>
        <v>3696</v>
      </c>
      <c r="AC9" s="56" t="s">
        <v>447</v>
      </c>
      <c r="AD9" s="14">
        <v>16</v>
      </c>
      <c r="AE9" s="14">
        <v>5</v>
      </c>
      <c r="AF9" s="14">
        <f t="shared" si="2"/>
        <v>112</v>
      </c>
      <c r="AG9" s="14">
        <v>28</v>
      </c>
      <c r="AH9" s="14">
        <f t="shared" si="9"/>
        <v>19712</v>
      </c>
      <c r="AI9" s="14"/>
      <c r="AJ9" s="14"/>
      <c r="AK9" s="78">
        <f t="shared" si="10"/>
        <v>18480</v>
      </c>
    </row>
    <row r="10" s="39" customFormat="1" ht="24.95" customHeight="1" spans="1:37">
      <c r="A10" s="50">
        <v>6</v>
      </c>
      <c r="B10" s="51" t="s">
        <v>448</v>
      </c>
      <c r="C10" s="52" t="s">
        <v>308</v>
      </c>
      <c r="D10" s="53">
        <v>44060</v>
      </c>
      <c r="E10" s="54">
        <v>9</v>
      </c>
      <c r="F10" s="55" t="s">
        <v>194</v>
      </c>
      <c r="G10" s="56" t="s">
        <v>449</v>
      </c>
      <c r="H10" s="14">
        <v>25</v>
      </c>
      <c r="I10" s="14">
        <v>7</v>
      </c>
      <c r="J10" s="14">
        <v>76000</v>
      </c>
      <c r="K10" s="14">
        <v>6725.66</v>
      </c>
      <c r="L10" s="14">
        <f t="shared" si="3"/>
        <v>11463.41</v>
      </c>
      <c r="M10" s="14">
        <f>(580-80)*12</f>
        <v>6000</v>
      </c>
      <c r="N10" s="14">
        <f t="shared" si="0"/>
        <v>50400</v>
      </c>
      <c r="O10" s="14">
        <v>6472.8</v>
      </c>
      <c r="P10" s="14">
        <v>8950</v>
      </c>
      <c r="Q10" s="14">
        <f t="shared" si="4"/>
        <v>32958.464</v>
      </c>
      <c r="R10" s="14">
        <v>360</v>
      </c>
      <c r="S10" s="14">
        <v>680</v>
      </c>
      <c r="T10" s="14">
        <f t="shared" si="5"/>
        <v>1484</v>
      </c>
      <c r="U10" s="14">
        <v>2320</v>
      </c>
      <c r="V10" s="14">
        <v>6800</v>
      </c>
      <c r="W10" s="14">
        <f t="shared" si="6"/>
        <v>960</v>
      </c>
      <c r="X10" s="14">
        <v>40</v>
      </c>
      <c r="Y10" s="14">
        <f t="shared" si="1"/>
        <v>4320</v>
      </c>
      <c r="Z10" s="14">
        <f t="shared" si="7"/>
        <v>1200</v>
      </c>
      <c r="AA10" s="19">
        <f t="shared" si="8"/>
        <v>134408.674</v>
      </c>
      <c r="AB10" s="78">
        <f>(E10-1)*AF10*11*通江农村客运车辆成本信息核定表!$L$8</f>
        <v>4928</v>
      </c>
      <c r="AC10" s="56" t="s">
        <v>449</v>
      </c>
      <c r="AD10" s="14">
        <v>25</v>
      </c>
      <c r="AE10" s="14">
        <v>10</v>
      </c>
      <c r="AF10" s="14">
        <f t="shared" si="2"/>
        <v>112</v>
      </c>
      <c r="AG10" s="14">
        <v>28</v>
      </c>
      <c r="AH10" s="14">
        <f t="shared" si="9"/>
        <v>30800</v>
      </c>
      <c r="AI10" s="14"/>
      <c r="AJ10" s="14"/>
      <c r="AK10" s="78">
        <f t="shared" si="10"/>
        <v>49280</v>
      </c>
    </row>
    <row r="11" s="39" customFormat="1" ht="24.95" customHeight="1" spans="1:37">
      <c r="A11" s="50">
        <v>7</v>
      </c>
      <c r="B11" s="51" t="s">
        <v>450</v>
      </c>
      <c r="C11" s="52" t="s">
        <v>451</v>
      </c>
      <c r="D11" s="53">
        <v>44116</v>
      </c>
      <c r="E11" s="54">
        <v>17</v>
      </c>
      <c r="F11" s="55" t="s">
        <v>174</v>
      </c>
      <c r="G11" s="56" t="s">
        <v>452</v>
      </c>
      <c r="H11" s="14">
        <v>140</v>
      </c>
      <c r="I11" s="14">
        <v>7</v>
      </c>
      <c r="J11" s="14">
        <v>195000</v>
      </c>
      <c r="K11" s="14">
        <v>17256.64</v>
      </c>
      <c r="L11" s="14">
        <f t="shared" si="3"/>
        <v>29412.71</v>
      </c>
      <c r="M11" s="14">
        <f>(600-80)*12</f>
        <v>6240</v>
      </c>
      <c r="N11" s="14">
        <f t="shared" si="0"/>
        <v>50400</v>
      </c>
      <c r="O11" s="14">
        <v>6472.8</v>
      </c>
      <c r="P11" s="14">
        <v>11345</v>
      </c>
      <c r="Q11" s="14">
        <f t="shared" si="4"/>
        <v>184567.3984</v>
      </c>
      <c r="R11" s="14">
        <v>360</v>
      </c>
      <c r="S11" s="14">
        <v>680</v>
      </c>
      <c r="T11" s="14">
        <f t="shared" si="5"/>
        <v>1484</v>
      </c>
      <c r="U11" s="14">
        <v>2320</v>
      </c>
      <c r="V11" s="14">
        <v>9800</v>
      </c>
      <c r="W11" s="14">
        <f t="shared" si="6"/>
        <v>960</v>
      </c>
      <c r="X11" s="14">
        <v>40</v>
      </c>
      <c r="Y11" s="14">
        <f t="shared" si="1"/>
        <v>4320</v>
      </c>
      <c r="Z11" s="14">
        <f t="shared" si="7"/>
        <v>1200</v>
      </c>
      <c r="AA11" s="19">
        <f t="shared" si="8"/>
        <v>309601.9084</v>
      </c>
      <c r="AB11" s="78">
        <f>(E11-1)*AF11*11*通江农村客运车辆成本信息核定表!$L$8</f>
        <v>9856</v>
      </c>
      <c r="AC11" s="56" t="s">
        <v>452</v>
      </c>
      <c r="AD11" s="14">
        <v>140</v>
      </c>
      <c r="AE11" s="14">
        <v>50</v>
      </c>
      <c r="AF11" s="14">
        <f t="shared" si="2"/>
        <v>112</v>
      </c>
      <c r="AG11" s="14">
        <v>28</v>
      </c>
      <c r="AH11" s="14">
        <f t="shared" si="9"/>
        <v>172480</v>
      </c>
      <c r="AI11" s="14"/>
      <c r="AJ11" s="14"/>
      <c r="AK11" s="78">
        <f t="shared" si="10"/>
        <v>492800</v>
      </c>
    </row>
    <row r="12" s="39" customFormat="1" ht="24.95" customHeight="1" spans="1:37">
      <c r="A12" s="50">
        <v>8</v>
      </c>
      <c r="B12" s="51" t="s">
        <v>453</v>
      </c>
      <c r="C12" s="52" t="s">
        <v>454</v>
      </c>
      <c r="D12" s="53">
        <v>44165</v>
      </c>
      <c r="E12" s="54">
        <v>8</v>
      </c>
      <c r="F12" s="55" t="s">
        <v>194</v>
      </c>
      <c r="G12" s="56" t="s">
        <v>455</v>
      </c>
      <c r="H12" s="14">
        <v>27</v>
      </c>
      <c r="I12" s="14">
        <v>7</v>
      </c>
      <c r="J12" s="14">
        <v>63300</v>
      </c>
      <c r="K12" s="14">
        <v>5601.77</v>
      </c>
      <c r="L12" s="14">
        <f t="shared" si="3"/>
        <v>9547.82</v>
      </c>
      <c r="M12" s="14">
        <f>(300-80)*12</f>
        <v>2640</v>
      </c>
      <c r="N12" s="14">
        <f t="shared" si="0"/>
        <v>50400</v>
      </c>
      <c r="O12" s="14">
        <v>6472.8</v>
      </c>
      <c r="P12" s="14">
        <v>8340</v>
      </c>
      <c r="Q12" s="14">
        <f t="shared" si="4"/>
        <v>35595.14112</v>
      </c>
      <c r="R12" s="14">
        <v>360</v>
      </c>
      <c r="S12" s="14">
        <v>680</v>
      </c>
      <c r="T12" s="14">
        <f t="shared" si="5"/>
        <v>1484</v>
      </c>
      <c r="U12" s="14">
        <v>2320</v>
      </c>
      <c r="V12" s="14">
        <v>4500</v>
      </c>
      <c r="W12" s="14">
        <f t="shared" si="6"/>
        <v>960</v>
      </c>
      <c r="X12" s="14">
        <v>40</v>
      </c>
      <c r="Y12" s="14">
        <f t="shared" si="1"/>
        <v>4320</v>
      </c>
      <c r="Z12" s="14">
        <f t="shared" si="7"/>
        <v>1200</v>
      </c>
      <c r="AA12" s="19">
        <f t="shared" si="8"/>
        <v>128859.76112</v>
      </c>
      <c r="AB12" s="78">
        <f>(E12-1)*AF12*11*通江农村客运车辆成本信息核定表!$L$8</f>
        <v>4312</v>
      </c>
      <c r="AC12" s="56" t="s">
        <v>455</v>
      </c>
      <c r="AD12" s="14">
        <v>27</v>
      </c>
      <c r="AE12" s="14">
        <v>17</v>
      </c>
      <c r="AF12" s="14">
        <f t="shared" si="2"/>
        <v>112</v>
      </c>
      <c r="AG12" s="14">
        <v>28</v>
      </c>
      <c r="AH12" s="14">
        <f t="shared" si="9"/>
        <v>33264</v>
      </c>
      <c r="AI12" s="14"/>
      <c r="AJ12" s="14"/>
      <c r="AK12" s="78">
        <f t="shared" si="10"/>
        <v>73304</v>
      </c>
    </row>
    <row r="13" s="40" customFormat="1" ht="24.95" customHeight="1" spans="1:38">
      <c r="A13" s="58" t="s">
        <v>216</v>
      </c>
      <c r="B13" s="58"/>
      <c r="C13" s="58"/>
      <c r="D13" s="58"/>
      <c r="E13" s="19">
        <f>SUM(E3:E12)</f>
        <v>92</v>
      </c>
      <c r="F13" s="59"/>
      <c r="G13" s="59"/>
      <c r="H13" s="19">
        <f>SUM(H3:H12)</f>
        <v>416</v>
      </c>
      <c r="I13" s="19">
        <f>SUM(I3:I12)</f>
        <v>56</v>
      </c>
      <c r="J13" s="19">
        <f t="shared" ref="J13:Z13" si="11">SUM(J5:J12)</f>
        <v>841850</v>
      </c>
      <c r="K13" s="19">
        <f t="shared" si="11"/>
        <v>74500.01</v>
      </c>
      <c r="L13" s="19">
        <f t="shared" si="11"/>
        <v>126979.94</v>
      </c>
      <c r="M13" s="19">
        <f t="shared" si="11"/>
        <v>44160</v>
      </c>
      <c r="N13" s="19">
        <f t="shared" si="11"/>
        <v>403200</v>
      </c>
      <c r="O13" s="19">
        <f t="shared" si="11"/>
        <v>51782.4</v>
      </c>
      <c r="P13" s="19">
        <f t="shared" si="11"/>
        <v>79618</v>
      </c>
      <c r="Q13" s="19">
        <f t="shared" si="11"/>
        <v>548428.84096</v>
      </c>
      <c r="R13" s="19">
        <f t="shared" si="11"/>
        <v>2880</v>
      </c>
      <c r="S13" s="19">
        <f t="shared" si="11"/>
        <v>5760</v>
      </c>
      <c r="T13" s="19">
        <f t="shared" si="11"/>
        <v>11872</v>
      </c>
      <c r="U13" s="19">
        <f t="shared" si="11"/>
        <v>21940</v>
      </c>
      <c r="V13" s="19">
        <f t="shared" si="11"/>
        <v>62200</v>
      </c>
      <c r="W13" s="19">
        <f t="shared" si="11"/>
        <v>7680</v>
      </c>
      <c r="X13" s="19">
        <f t="shared" si="11"/>
        <v>320</v>
      </c>
      <c r="Y13" s="19">
        <f t="shared" si="11"/>
        <v>34560</v>
      </c>
      <c r="Z13" s="19">
        <f t="shared" si="11"/>
        <v>9600</v>
      </c>
      <c r="AA13" s="19">
        <f t="shared" si="8"/>
        <v>1410981.18096</v>
      </c>
      <c r="AB13" s="19">
        <f>SUM(AB5:AB12)</f>
        <v>51744</v>
      </c>
      <c r="AC13" s="79" t="s">
        <v>216</v>
      </c>
      <c r="AD13" s="19">
        <f t="shared" ref="AD13:AK13" si="12">SUM(AD5:AD12)</f>
        <v>416</v>
      </c>
      <c r="AE13" s="19">
        <f t="shared" si="12"/>
        <v>186</v>
      </c>
      <c r="AF13" s="19">
        <f t="shared" si="12"/>
        <v>896</v>
      </c>
      <c r="AG13" s="19">
        <f t="shared" si="12"/>
        <v>224</v>
      </c>
      <c r="AH13" s="19">
        <f t="shared" si="12"/>
        <v>512512</v>
      </c>
      <c r="AI13" s="19">
        <f t="shared" si="12"/>
        <v>0</v>
      </c>
      <c r="AJ13" s="19">
        <f t="shared" si="12"/>
        <v>0</v>
      </c>
      <c r="AK13" s="19">
        <f t="shared" si="12"/>
        <v>1214136</v>
      </c>
      <c r="AL13" s="39"/>
    </row>
    <row r="14" s="40" customFormat="1" ht="29.1" customHeight="1" spans="1:37">
      <c r="A14" s="60" t="s">
        <v>217</v>
      </c>
      <c r="B14" s="61"/>
      <c r="C14" s="58"/>
      <c r="D14" s="58"/>
      <c r="E14" s="62">
        <f>ROUND(E13/$A$17,2)</f>
        <v>11.5</v>
      </c>
      <c r="F14" s="59"/>
      <c r="G14" s="59"/>
      <c r="H14" s="19">
        <f>ROUND(H13/$A$17,2)</f>
        <v>52</v>
      </c>
      <c r="I14" s="19">
        <f t="shared" ref="I14:AB14" si="13">ROUND(I13/$A$17,2)</f>
        <v>7</v>
      </c>
      <c r="J14" s="19">
        <f t="shared" si="13"/>
        <v>105231.25</v>
      </c>
      <c r="K14" s="19">
        <f t="shared" si="13"/>
        <v>9312.5</v>
      </c>
      <c r="L14" s="19">
        <f t="shared" si="13"/>
        <v>15872.49</v>
      </c>
      <c r="M14" s="19">
        <f t="shared" si="13"/>
        <v>5520</v>
      </c>
      <c r="N14" s="19">
        <f t="shared" si="13"/>
        <v>50400</v>
      </c>
      <c r="O14" s="19">
        <f t="shared" si="13"/>
        <v>6472.8</v>
      </c>
      <c r="P14" s="19">
        <f t="shared" si="13"/>
        <v>9952.25</v>
      </c>
      <c r="Q14" s="19">
        <f t="shared" si="13"/>
        <v>68553.61</v>
      </c>
      <c r="R14" s="19">
        <f t="shared" si="13"/>
        <v>360</v>
      </c>
      <c r="S14" s="19">
        <f t="shared" si="13"/>
        <v>720</v>
      </c>
      <c r="T14" s="19">
        <f t="shared" si="13"/>
        <v>1484</v>
      </c>
      <c r="U14" s="19">
        <f t="shared" si="13"/>
        <v>2742.5</v>
      </c>
      <c r="V14" s="19">
        <f t="shared" si="13"/>
        <v>7775</v>
      </c>
      <c r="W14" s="19">
        <f t="shared" si="13"/>
        <v>960</v>
      </c>
      <c r="X14" s="19">
        <f t="shared" si="13"/>
        <v>40</v>
      </c>
      <c r="Y14" s="19">
        <f t="shared" si="13"/>
        <v>4320</v>
      </c>
      <c r="Z14" s="19">
        <f t="shared" si="13"/>
        <v>1200</v>
      </c>
      <c r="AA14" s="19">
        <f>ROUND(AA13/$A$17,2)</f>
        <v>176372.65</v>
      </c>
      <c r="AB14" s="19">
        <f>ROUND(AB13/$A$17,2)</f>
        <v>6468</v>
      </c>
      <c r="AC14" s="80" t="s">
        <v>217</v>
      </c>
      <c r="AD14" s="19">
        <f t="shared" ref="AD14:AK14" si="14">ROUND(AD13/$A$17,2)</f>
        <v>52</v>
      </c>
      <c r="AE14" s="19">
        <f t="shared" si="14"/>
        <v>23.25</v>
      </c>
      <c r="AF14" s="19">
        <f t="shared" si="14"/>
        <v>112</v>
      </c>
      <c r="AG14" s="19">
        <f t="shared" si="14"/>
        <v>28</v>
      </c>
      <c r="AH14" s="19">
        <f t="shared" si="14"/>
        <v>64064</v>
      </c>
      <c r="AI14" s="19">
        <f t="shared" si="14"/>
        <v>0</v>
      </c>
      <c r="AJ14" s="19">
        <f t="shared" si="14"/>
        <v>0</v>
      </c>
      <c r="AK14" s="19">
        <f>ROUND(AK13/$A$17,2)</f>
        <v>151767</v>
      </c>
    </row>
    <row r="15" s="40" customFormat="1" ht="29.1" customHeight="1" spans="1:37">
      <c r="A15" s="63"/>
      <c r="B15" s="64"/>
      <c r="C15" s="65"/>
      <c r="D15" s="65"/>
      <c r="E15" s="66"/>
      <c r="F15" s="67"/>
      <c r="G15" s="6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81"/>
      <c r="AD15" s="68"/>
      <c r="AE15" s="68"/>
      <c r="AF15" s="68"/>
      <c r="AG15" s="68"/>
      <c r="AH15" s="68"/>
      <c r="AI15" s="68"/>
      <c r="AJ15" s="68"/>
      <c r="AK15" s="68"/>
    </row>
    <row r="17" spans="1:1">
      <c r="A17" s="41">
        <v>8</v>
      </c>
    </row>
  </sheetData>
  <sheetProtection formatCells="0" insertHyperlinks="0" autoFilter="0"/>
  <mergeCells count="5">
    <mergeCell ref="A2:W2"/>
    <mergeCell ref="X2:AK2"/>
    <mergeCell ref="T3:V3"/>
    <mergeCell ref="A13:B13"/>
    <mergeCell ref="A14:B14"/>
  </mergeCells>
  <printOptions horizontalCentered="1"/>
  <pageMargins left="0.751388888888889" right="0.554861111111111" top="0.802777777777778" bottom="0.802777777777778" header="0.5" footer="0.5"/>
  <pageSetup paperSize="9" scale="87" pageOrder="overThenDown" orientation="landscape" horizontalDpi="600"/>
  <headerFooter>
    <oddFooter>&amp;C第 &amp;P 页，共 &amp;N 页</oddFooter>
  </headerFooter>
  <colBreaks count="1" manualBreakCount="1">
    <brk id="22" max="1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6 " / > < p i x e l a t o r L i s t   s h e e t S t i d = " 5 " / > < p i x e l a t o r L i s t   s h e e t S t i d = " 7 " / > < p i x e l a t o r L i s t   s h e e t S t i d = " 8 " / > < p i x e l a t o r L i s t   s h e e t S t i d = " 9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I 3 7 "   r g b C l r = " 3 0 C 6 4 C " > < i t e m   i d = " { b 8 5 e 6 b 0 d - 8 f 2 a - 4 b 8 6 - a 8 e 3 - b f a 8 2 1 8 a 8 1 2 a } "   i s N o r m a l = " 1 " > < s : t e x t > < s : r > < s : t   x m l : s p a c e = " p r e s e r v e " > A D M I N :  
 ��\kXeQ�~�< / s : t > < / s : r > < / s : t e x t > < / i t e m > < / c o m m e n t > < c o m m e n t   s : r e f = " A H 3 7 "   r g b C l r = " 3 0 C 6 4 C " > < i t e m   i d = " { 0 B 3 7 C B 0 5 - 5 E C 5 - 5 C 0 5 - B 0 6 7 - 6 6 6 2 F 7 9 8 7 8 4 F } "   i s N o r m a l = " 1 " > < s : t e x t > < s : r > < s : t   x m l : s p a c e = " p r e s e r v e " > A D M I N :  
 ��\kXeQ�~�< / s : t > < / s : r > < / s : t e x t > < / i t e m > < / c o m m e n t > < / c o m m e n t L i s t > < c o m m e n t L i s t   s h e e t S t i d = " 1 1 " / > < / c o m m e n t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通江农村客运车辆成本信息核定表</vt:lpstr>
      <vt:lpstr>巴运（2021）</vt:lpstr>
      <vt:lpstr>巴运 (2020)</vt:lpstr>
      <vt:lpstr>巴运 (2019)</vt:lpstr>
      <vt:lpstr>利民（2021）</vt:lpstr>
      <vt:lpstr>利民 (2020)</vt:lpstr>
      <vt:lpstr>利民 (2019)</vt:lpstr>
      <vt:lpstr>万顺（2021）</vt:lpstr>
      <vt:lpstr>万顺 (2020)</vt:lpstr>
      <vt:lpstr>一凡（2021）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白开水</cp:lastModifiedBy>
  <dcterms:created xsi:type="dcterms:W3CDTF">2006-09-16T08:00:00Z</dcterms:created>
  <cp:lastPrinted>2022-06-09T08:22:00Z</cp:lastPrinted>
  <dcterms:modified xsi:type="dcterms:W3CDTF">2025-01-23T07:32:14Z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597F97828A344E43BF765592475666B3</vt:lpwstr>
  </property>
  <property fmtid="{D5CDD505-2E9C-101B-9397-08002B2CF9AE}" pid="4" name="KSOReadingLayout">
    <vt:bool>true</vt:bool>
  </property>
  <property fmtid="{D5CDD505-2E9C-101B-9397-08002B2CF9AE}" pid="5" name="commondata">
    <vt:lpwstr>eyJoZGlkIjoiYjY1ZDY2ZWMzNzQ4OTk2MzZmYWVlN2RlYjZjZmI1MmIifQ==</vt:lpwstr>
  </property>
</Properties>
</file>